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430" windowHeight="11640" activeTab="0"/>
  </bookViews>
  <sheets>
    <sheet name="Tableau" sheetId="1" r:id="rId1"/>
    <sheet name="Calculs" sheetId="2" r:id="rId2"/>
  </sheets>
  <definedNames/>
  <calcPr fullCalcOnLoad="1"/>
</workbook>
</file>

<file path=xl/sharedStrings.xml><?xml version="1.0" encoding="utf-8"?>
<sst xmlns="http://schemas.openxmlformats.org/spreadsheetml/2006/main" count="201" uniqueCount="132">
  <si>
    <t>Coût installation</t>
  </si>
  <si>
    <t>Prime</t>
  </si>
  <si>
    <t>Puissance installée</t>
  </si>
  <si>
    <t>Déduction fiscale (40%)</t>
  </si>
  <si>
    <t>Production annuelle</t>
  </si>
  <si>
    <t>kWh</t>
  </si>
  <si>
    <t>Wc</t>
  </si>
  <si>
    <t>Prix CV</t>
  </si>
  <si>
    <t>MWh</t>
  </si>
  <si>
    <t>Nombre Certificats verts par an</t>
  </si>
  <si>
    <t>€/tonne CO2 évitée</t>
  </si>
  <si>
    <t>€</t>
  </si>
  <si>
    <t>CV/an</t>
  </si>
  <si>
    <t>ans</t>
  </si>
  <si>
    <t>Quantité totale de CO2 évitée sur la durée de vie</t>
  </si>
  <si>
    <t>Exonération des frais de transport, distribution, taxes et surchages sur la durée de vie</t>
  </si>
  <si>
    <t>Durée d'octroi des CV</t>
  </si>
  <si>
    <t>Durée de vie de l'installation</t>
  </si>
  <si>
    <t>Production totale sur la durée de vie</t>
  </si>
  <si>
    <t>Coût installation par Wc</t>
  </si>
  <si>
    <t>année</t>
  </si>
  <si>
    <t>VAN</t>
  </si>
  <si>
    <t>années</t>
  </si>
  <si>
    <t>m2</t>
  </si>
  <si>
    <t>w/m.K</t>
  </si>
  <si>
    <t>m</t>
  </si>
  <si>
    <t>u</t>
  </si>
  <si>
    <t>W/m2.K</t>
  </si>
  <si>
    <t>U</t>
  </si>
  <si>
    <t>W/K</t>
  </si>
  <si>
    <t>m2.K/W</t>
  </si>
  <si>
    <t>W.Jours</t>
  </si>
  <si>
    <t>kgCO2/an</t>
  </si>
  <si>
    <t>€/an</t>
  </si>
  <si>
    <t>€/m2</t>
  </si>
  <si>
    <t>tonnes</t>
  </si>
  <si>
    <t xml:space="preserve">kWh </t>
  </si>
  <si>
    <t>Isolation</t>
  </si>
  <si>
    <t>kWh/m2an</t>
  </si>
  <si>
    <t>Dans l'état initial</t>
  </si>
  <si>
    <t>K.Jours</t>
  </si>
  <si>
    <t>Après Isolation du mur</t>
  </si>
  <si>
    <t>R de l'isolant</t>
  </si>
  <si>
    <t xml:space="preserve">R </t>
  </si>
  <si>
    <t>Epaisseur brique</t>
  </si>
  <si>
    <t>Lambda de la brique</t>
  </si>
  <si>
    <t>Surface à isoler</t>
  </si>
  <si>
    <t>Degré jours normaux (uccle)</t>
  </si>
  <si>
    <t>Degrés jours équivalents</t>
  </si>
  <si>
    <t>R du mur</t>
  </si>
  <si>
    <t>R</t>
  </si>
  <si>
    <t xml:space="preserve">u </t>
  </si>
  <si>
    <t>Déperditions annuelles par le mur</t>
  </si>
  <si>
    <t>kWh/an</t>
  </si>
  <si>
    <t>W.J/an</t>
  </si>
  <si>
    <t>kWh/m2.an</t>
  </si>
  <si>
    <t>Emissions de CO2 du système de chauffage</t>
  </si>
  <si>
    <t>kgCO2/MWh</t>
  </si>
  <si>
    <t>kgCO2/MWh utile</t>
  </si>
  <si>
    <t>Coefficient d'émission du combustible chaudière</t>
  </si>
  <si>
    <t xml:space="preserve">kgCO2/MWh </t>
  </si>
  <si>
    <t>Rendement globale installation de chauffage</t>
  </si>
  <si>
    <t>Epaisseur isolant</t>
  </si>
  <si>
    <t>Lambda isolant</t>
  </si>
  <si>
    <t>Coût d'isolation au mètre carré</t>
  </si>
  <si>
    <t>Coût total d'isolation</t>
  </si>
  <si>
    <t>Prime à l'isolation</t>
  </si>
  <si>
    <t>Réduction d'impôt</t>
  </si>
  <si>
    <t>Economie de CO2 sur durée de vie investissement</t>
  </si>
  <si>
    <t>tonne CO2</t>
  </si>
  <si>
    <t>Prix du kWh utile de chaleur en 2008</t>
  </si>
  <si>
    <t>Economie d'énergie par année</t>
  </si>
  <si>
    <t>Durée de vie de l'investissement</t>
  </si>
  <si>
    <t>Aides publiques</t>
  </si>
  <si>
    <t>Gain annuel en 2008</t>
  </si>
  <si>
    <t>Déperditions annuelles par le mur après isolation</t>
  </si>
  <si>
    <t>Ratio Degj_équiv/ Degj_normaux</t>
  </si>
  <si>
    <t>Taux d'actualisation</t>
  </si>
  <si>
    <t>Accroissement prix gaz naturel</t>
  </si>
  <si>
    <t>Année</t>
  </si>
  <si>
    <t>Gain</t>
  </si>
  <si>
    <t>Gain actualisé</t>
  </si>
  <si>
    <t>Panneaux solaires thermiques</t>
  </si>
  <si>
    <t>Surface de panneaux</t>
  </si>
  <si>
    <t>Coût de l' installation</t>
  </si>
  <si>
    <t>kWh utile/m2</t>
  </si>
  <si>
    <t>Production annuelle totale</t>
  </si>
  <si>
    <t>Production annuelle utile par m2 de panneaux solaires</t>
  </si>
  <si>
    <t>Durée de vie des panneaux</t>
  </si>
  <si>
    <t>Economie de CO2 annuelle</t>
  </si>
  <si>
    <t>Prime région wallonne</t>
  </si>
  <si>
    <t>Prime de la ville d'Ottignies</t>
  </si>
  <si>
    <t>Coût investissement avec aides publiques</t>
  </si>
  <si>
    <t>Coût investissement sans aides publiques</t>
  </si>
  <si>
    <t>Prime province du brabant</t>
  </si>
  <si>
    <t>Economie totale de CO2 sur durée de vie de l'investissement</t>
  </si>
  <si>
    <t xml:space="preserve">Coût investissement sans aides publiques </t>
  </si>
  <si>
    <t>Total Aides publiques</t>
  </si>
  <si>
    <t>Gain actualise</t>
  </si>
  <si>
    <t>€ tvac</t>
  </si>
  <si>
    <t>Quantité de CO2 évitée par MWh d'électricité produit</t>
  </si>
  <si>
    <t>Total aides publiques à l'investissement</t>
  </si>
  <si>
    <t>Total aides publiques à la production en 2008</t>
  </si>
  <si>
    <t>€/MWh</t>
  </si>
  <si>
    <t>Aide certificats verts annuelle</t>
  </si>
  <si>
    <t>Aide par exonération des frais de distribution annuelle</t>
  </si>
  <si>
    <t>Gain CV</t>
  </si>
  <si>
    <t>Gain frais distrinution</t>
  </si>
  <si>
    <t>Gain vente électricité</t>
  </si>
  <si>
    <t>Accroissement prix électricité (énergie)</t>
  </si>
  <si>
    <t>Gain vente électricité annuelle</t>
  </si>
  <si>
    <t>Accroissement frais de distribution par année (partie réglementée)</t>
  </si>
  <si>
    <t>Panneaux photovoltaïques</t>
  </si>
  <si>
    <t>€/MWh prim économisé</t>
  </si>
  <si>
    <t>Economie sur la durée de vie de l'investissement</t>
  </si>
  <si>
    <t>Total aides publiques (prod+à l'investissement)</t>
  </si>
  <si>
    <t>Isolation du mur</t>
  </si>
  <si>
    <t>Coût (€)</t>
  </si>
  <si>
    <t>Coût (€/tonne de CO2 évitée)</t>
  </si>
  <si>
    <t>Réduction des émissions de CO2 (tonne)</t>
  </si>
  <si>
    <t>Aides publiques (€/tonne de CO2 évitée)</t>
  </si>
  <si>
    <t>Aides publiques (€/MWh prim économisé)</t>
  </si>
  <si>
    <t>Temps de Retour Simple</t>
  </si>
  <si>
    <t>Taux de Rentabilité Interne</t>
  </si>
  <si>
    <t>Total gains (A)</t>
  </si>
  <si>
    <t>Total gains (B)</t>
  </si>
  <si>
    <t>Gains actualisés (A)</t>
  </si>
  <si>
    <t>Gains actualisés (B)</t>
  </si>
  <si>
    <t>VAN (A)</t>
  </si>
  <si>
    <t>VAN (B)</t>
  </si>
  <si>
    <t>A= aides publiques uniquement</t>
  </si>
  <si>
    <t>B= aides publiques + vente électricité</t>
  </si>
</sst>
</file>

<file path=xl/styles.xml><?xml version="1.0" encoding="utf-8"?>
<styleSheet xmlns="http://schemas.openxmlformats.org/spreadsheetml/2006/main">
  <numFmts count="3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[$€-1];[Red]\-#,##0\ [$€-1]"/>
    <numFmt numFmtId="181" formatCode="#,##0_ ;[Red]\-#,##0\ 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&quot;Vrai&quot;;&quot;Vrai&quot;;&quot;Faux&quot;"/>
    <numFmt numFmtId="189" formatCode="&quot;Actif&quot;;&quot;Actif&quot;;&quot;Inactif&quot;"/>
    <numFmt numFmtId="190" formatCode="0.00000000"/>
    <numFmt numFmtId="191" formatCode="0.0%"/>
  </numFmts>
  <fonts count="23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2" fillId="23" borderId="9" applyNumberFormat="0" applyAlignment="0" applyProtection="0"/>
  </cellStyleXfs>
  <cellXfs count="7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52">
      <alignment/>
      <protection/>
    </xf>
    <xf numFmtId="0" fontId="0" fillId="0" borderId="0" xfId="0" applyAlignment="1">
      <alignment horizontal="center"/>
    </xf>
    <xf numFmtId="0" fontId="6" fillId="0" borderId="0" xfId="52" applyFill="1">
      <alignment/>
      <protection/>
    </xf>
    <xf numFmtId="0" fontId="6" fillId="0" borderId="0" xfId="52" applyFont="1" applyFill="1">
      <alignment/>
      <protection/>
    </xf>
    <xf numFmtId="2" fontId="6" fillId="0" borderId="0" xfId="52" applyNumberFormat="1" applyFill="1">
      <alignment/>
      <protection/>
    </xf>
    <xf numFmtId="0" fontId="5" fillId="0" borderId="10" xfId="52" applyFont="1" applyBorder="1">
      <alignment/>
      <protection/>
    </xf>
    <xf numFmtId="2" fontId="6" fillId="0" borderId="0" xfId="52" applyNumberFormat="1" applyBorder="1">
      <alignment/>
      <protection/>
    </xf>
    <xf numFmtId="184" fontId="6" fillId="0" borderId="11" xfId="52" applyNumberFormat="1" applyBorder="1">
      <alignment/>
      <protection/>
    </xf>
    <xf numFmtId="0" fontId="6" fillId="0" borderId="10" xfId="52" applyFont="1" applyFill="1" applyBorder="1">
      <alignment/>
      <protection/>
    </xf>
    <xf numFmtId="2" fontId="6" fillId="0" borderId="0" xfId="52" applyNumberFormat="1" applyFill="1" applyBorder="1">
      <alignment/>
      <protection/>
    </xf>
    <xf numFmtId="0" fontId="6" fillId="0" borderId="11" xfId="52" applyFill="1" applyBorder="1">
      <alignment/>
      <protection/>
    </xf>
    <xf numFmtId="0" fontId="6" fillId="0" borderId="11" xfId="52" applyFont="1" applyFill="1" applyBorder="1">
      <alignment/>
      <protection/>
    </xf>
    <xf numFmtId="0" fontId="6" fillId="0" borderId="10" xfId="52" applyFill="1" applyBorder="1">
      <alignment/>
      <protection/>
    </xf>
    <xf numFmtId="0" fontId="5" fillId="0" borderId="10" xfId="52" applyFont="1" applyFill="1" applyBorder="1">
      <alignment/>
      <protection/>
    </xf>
    <xf numFmtId="10" fontId="6" fillId="0" borderId="0" xfId="52" applyNumberFormat="1" applyFill="1" applyBorder="1">
      <alignment/>
      <protection/>
    </xf>
    <xf numFmtId="0" fontId="6" fillId="0" borderId="12" xfId="52" applyFont="1" applyFill="1" applyBorder="1">
      <alignment/>
      <protection/>
    </xf>
    <xf numFmtId="0" fontId="6" fillId="0" borderId="13" xfId="52" applyFont="1" applyFill="1" applyBorder="1">
      <alignment/>
      <protection/>
    </xf>
    <xf numFmtId="0" fontId="6" fillId="0" borderId="0" xfId="52" applyFont="1">
      <alignment/>
      <protection/>
    </xf>
    <xf numFmtId="191" fontId="6" fillId="0" borderId="14" xfId="52" applyNumberFormat="1" applyFill="1" applyBorder="1">
      <alignment/>
      <protection/>
    </xf>
    <xf numFmtId="191" fontId="6" fillId="0" borderId="0" xfId="52" applyNumberFormat="1" applyFill="1" applyBorder="1">
      <alignment/>
      <protection/>
    </xf>
    <xf numFmtId="0" fontId="6" fillId="0" borderId="10" xfId="52" applyFont="1" applyBorder="1">
      <alignment/>
      <protection/>
    </xf>
    <xf numFmtId="10" fontId="6" fillId="0" borderId="11" xfId="52" applyNumberFormat="1" applyFill="1" applyBorder="1">
      <alignment/>
      <protection/>
    </xf>
    <xf numFmtId="10" fontId="6" fillId="0" borderId="11" xfId="52" applyNumberFormat="1" applyFont="1" applyFill="1" applyBorder="1">
      <alignment/>
      <protection/>
    </xf>
    <xf numFmtId="1" fontId="6" fillId="0" borderId="0" xfId="52" applyNumberFormat="1" applyFill="1" applyBorder="1">
      <alignment/>
      <protection/>
    </xf>
    <xf numFmtId="0" fontId="0" fillId="0" borderId="0" xfId="0" applyFont="1" applyAlignment="1">
      <alignment horizontal="center"/>
    </xf>
    <xf numFmtId="2" fontId="6" fillId="0" borderId="0" xfId="52" applyNumberFormat="1" applyFont="1" applyFill="1" applyBorder="1">
      <alignment/>
      <protection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6" fillId="0" borderId="10" xfId="52" applyNumberFormat="1" applyFont="1" applyFill="1" applyBorder="1" applyAlignment="1">
      <alignment horizontal="center"/>
      <protection/>
    </xf>
    <xf numFmtId="2" fontId="6" fillId="0" borderId="0" xfId="52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191" fontId="6" fillId="0" borderId="0" xfId="52" applyNumberFormat="1" applyFont="1" applyFill="1" applyBorder="1">
      <alignment/>
      <protection/>
    </xf>
    <xf numFmtId="191" fontId="6" fillId="0" borderId="14" xfId="52" applyNumberFormat="1" applyFont="1" applyFill="1" applyBorder="1">
      <alignment/>
      <protection/>
    </xf>
    <xf numFmtId="0" fontId="7" fillId="0" borderId="13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1" fontId="0" fillId="0" borderId="23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6" fillId="0" borderId="11" xfId="52" applyNumberFormat="1" applyFont="1" applyFill="1" applyBorder="1" applyAlignment="1">
      <alignment horizontal="center"/>
      <protection/>
    </xf>
    <xf numFmtId="2" fontId="0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5" xfId="52" applyFont="1" applyFill="1" applyBorder="1" applyAlignment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5" xfId="52" applyFont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alcul façad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2" max="2" width="19.421875" style="50" customWidth="1"/>
    <col min="5" max="5" width="14.421875" style="0" customWidth="1"/>
    <col min="6" max="6" width="12.28125" style="0" customWidth="1"/>
  </cols>
  <sheetData>
    <row r="1" ht="15" thickBot="1"/>
    <row r="2" spans="2:10" ht="71.25">
      <c r="B2" s="51"/>
      <c r="C2" s="52" t="s">
        <v>117</v>
      </c>
      <c r="D2" s="52" t="s">
        <v>118</v>
      </c>
      <c r="E2" s="52" t="s">
        <v>119</v>
      </c>
      <c r="F2" s="52" t="s">
        <v>120</v>
      </c>
      <c r="G2" s="52" t="s">
        <v>121</v>
      </c>
      <c r="H2" s="52" t="s">
        <v>122</v>
      </c>
      <c r="I2" s="53" t="s">
        <v>123</v>
      </c>
      <c r="J2" s="50"/>
    </row>
    <row r="3" spans="2:9" ht="22.5" customHeight="1">
      <c r="B3" s="54" t="s">
        <v>116</v>
      </c>
      <c r="C3" s="56">
        <f>Calculs!C36</f>
        <v>11200</v>
      </c>
      <c r="D3" s="61">
        <f>Calculs!C43</f>
        <v>131.47879925705942</v>
      </c>
      <c r="E3" s="57">
        <f>Calculs!C33</f>
        <v>85.18483636363636</v>
      </c>
      <c r="F3" s="56">
        <f>Calculs!C40</f>
        <v>23.47835701018918</v>
      </c>
      <c r="G3" s="56">
        <f>Calculs!C41</f>
        <v>6.547852899508315</v>
      </c>
      <c r="H3" s="63">
        <v>14</v>
      </c>
      <c r="I3" s="58">
        <v>12</v>
      </c>
    </row>
    <row r="4" spans="2:9" ht="28.5">
      <c r="B4" s="54" t="s">
        <v>82</v>
      </c>
      <c r="C4" s="56">
        <f>Calculs!C52</f>
        <v>6000</v>
      </c>
      <c r="D4" s="61">
        <f>Calculs!C69</f>
        <v>768.3551508252705</v>
      </c>
      <c r="E4" s="57">
        <f>Calculs!C59</f>
        <v>7.808888888888887</v>
      </c>
      <c r="F4" s="56">
        <f>Calculs!C66</f>
        <v>627.4900398406376</v>
      </c>
      <c r="G4" s="56">
        <f>Calculs!C67</f>
        <v>175</v>
      </c>
      <c r="H4" s="63">
        <v>10</v>
      </c>
      <c r="I4" s="58">
        <v>14</v>
      </c>
    </row>
    <row r="5" spans="2:9" ht="29.25" thickBot="1">
      <c r="B5" s="55" t="s">
        <v>112</v>
      </c>
      <c r="C5" s="59">
        <f>Calculs!C79</f>
        <v>8400</v>
      </c>
      <c r="D5" s="62">
        <f>Calculs!C99</f>
        <v>855.9968694971631</v>
      </c>
      <c r="E5" s="65">
        <f>Calculs!C88</f>
        <v>9.81312</v>
      </c>
      <c r="F5" s="59">
        <f>Calculs!C96</f>
        <v>1500.8232956274137</v>
      </c>
      <c r="G5" s="59">
        <f>Calculs!C97</f>
        <v>376.40648254335537</v>
      </c>
      <c r="H5" s="64">
        <v>3</v>
      </c>
      <c r="I5" s="60">
        <v>37</v>
      </c>
    </row>
    <row r="12" ht="14.25">
      <c r="F12" s="66"/>
    </row>
  </sheetData>
  <sheetProtection/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03"/>
  <sheetViews>
    <sheetView zoomScale="70" zoomScaleNormal="70" zoomScalePageLayoutView="0" workbookViewId="0" topLeftCell="A52">
      <selection activeCell="A1" sqref="A1"/>
    </sheetView>
  </sheetViews>
  <sheetFormatPr defaultColWidth="11.421875" defaultRowHeight="15"/>
  <cols>
    <col min="1" max="1" width="2.8515625" style="0" customWidth="1"/>
    <col min="2" max="2" width="69.57421875" style="0" customWidth="1"/>
    <col min="3" max="3" width="11.00390625" style="1" customWidth="1"/>
    <col min="4" max="4" width="18.28125" style="0" bestFit="1" customWidth="1"/>
    <col min="5" max="5" width="2.7109375" style="0" customWidth="1"/>
    <col min="6" max="6" width="2.140625" style="0" customWidth="1"/>
    <col min="7" max="8" width="11.00390625" style="29" customWidth="1"/>
    <col min="9" max="9" width="20.28125" style="29" customWidth="1"/>
    <col min="10" max="10" width="21.00390625" style="29" customWidth="1"/>
    <col min="11" max="11" width="14.28125" style="29" bestFit="1" customWidth="1"/>
    <col min="12" max="12" width="14.421875" style="29" bestFit="1" customWidth="1"/>
    <col min="13" max="13" width="19.8515625" style="29" bestFit="1" customWidth="1"/>
    <col min="14" max="14" width="19.8515625" style="3" bestFit="1" customWidth="1"/>
  </cols>
  <sheetData>
    <row r="1" spans="7:13" ht="10.5" customHeight="1" thickBot="1">
      <c r="G1" s="26"/>
      <c r="H1" s="26"/>
      <c r="I1" s="26"/>
      <c r="J1" s="26"/>
      <c r="K1" s="26"/>
      <c r="L1" s="26"/>
      <c r="M1" s="26"/>
    </row>
    <row r="2" spans="2:13" ht="15">
      <c r="B2" s="72" t="s">
        <v>37</v>
      </c>
      <c r="C2" s="73"/>
      <c r="D2" s="74"/>
      <c r="G2" s="41"/>
      <c r="H2" s="42"/>
      <c r="I2" s="42"/>
      <c r="J2" s="43"/>
      <c r="K2" s="26"/>
      <c r="L2" s="26"/>
      <c r="M2" s="26"/>
    </row>
    <row r="3" spans="2:10" ht="14.25">
      <c r="B3" s="7" t="s">
        <v>39</v>
      </c>
      <c r="C3" s="8"/>
      <c r="D3" s="9"/>
      <c r="G3" s="38" t="s">
        <v>79</v>
      </c>
      <c r="H3" s="39" t="s">
        <v>80</v>
      </c>
      <c r="I3" s="39" t="s">
        <v>81</v>
      </c>
      <c r="J3" s="44" t="s">
        <v>21</v>
      </c>
    </row>
    <row r="4" spans="2:10" ht="14.25">
      <c r="B4" s="10" t="s">
        <v>46</v>
      </c>
      <c r="C4" s="25">
        <v>80</v>
      </c>
      <c r="D4" s="12" t="s">
        <v>23</v>
      </c>
      <c r="G4" s="38">
        <v>0</v>
      </c>
      <c r="H4" s="39">
        <f>C44</f>
        <v>534.5263636363637</v>
      </c>
      <c r="I4" s="39">
        <f>H4/(1+$C$45)^G4</f>
        <v>534.5263636363637</v>
      </c>
      <c r="J4" s="67">
        <f>I4-C42</f>
        <v>-8665.473636363637</v>
      </c>
    </row>
    <row r="5" spans="2:10" ht="14.25">
      <c r="B5" s="10" t="s">
        <v>72</v>
      </c>
      <c r="C5" s="25">
        <v>40</v>
      </c>
      <c r="D5" s="13" t="s">
        <v>20</v>
      </c>
      <c r="G5" s="38">
        <f>G4+1</f>
        <v>1</v>
      </c>
      <c r="H5" s="39">
        <f aca="true" t="shared" si="0" ref="H5:H44">H4*(1+$C$46)</f>
        <v>566.5979454545455</v>
      </c>
      <c r="I5" s="39">
        <f aca="true" t="shared" si="1" ref="I5:I44">H5/(1+$C$45)^G5</f>
        <v>544.8057167832169</v>
      </c>
      <c r="J5" s="67">
        <f>J4+I5</f>
        <v>-8120.66791958042</v>
      </c>
    </row>
    <row r="6" spans="2:10" ht="14.25">
      <c r="B6" s="10" t="s">
        <v>45</v>
      </c>
      <c r="C6" s="11">
        <v>0.9</v>
      </c>
      <c r="D6" s="12" t="s">
        <v>24</v>
      </c>
      <c r="G6" s="38">
        <f aca="true" t="shared" si="2" ref="G6:G44">G5+1</f>
        <v>2</v>
      </c>
      <c r="H6" s="39">
        <f t="shared" si="0"/>
        <v>600.5938221818183</v>
      </c>
      <c r="I6" s="39">
        <f t="shared" si="1"/>
        <v>555.2827497982787</v>
      </c>
      <c r="J6" s="67">
        <f aca="true" t="shared" si="3" ref="J6:J44">J5+I6</f>
        <v>-7565.385169782141</v>
      </c>
    </row>
    <row r="7" spans="2:10" ht="14.25">
      <c r="B7" s="10" t="s">
        <v>44</v>
      </c>
      <c r="C7" s="11">
        <v>0.32</v>
      </c>
      <c r="D7" s="12" t="s">
        <v>25</v>
      </c>
      <c r="G7" s="38">
        <f t="shared" si="2"/>
        <v>3</v>
      </c>
      <c r="H7" s="39">
        <f t="shared" si="0"/>
        <v>636.6294515127274</v>
      </c>
      <c r="I7" s="39">
        <f t="shared" si="1"/>
        <v>565.9612642174764</v>
      </c>
      <c r="J7" s="67">
        <f t="shared" si="3"/>
        <v>-6999.423905564665</v>
      </c>
    </row>
    <row r="8" spans="2:10" ht="14.25">
      <c r="B8" s="14" t="s">
        <v>26</v>
      </c>
      <c r="C8" s="11">
        <f>C6/C7</f>
        <v>2.8125</v>
      </c>
      <c r="D8" s="12" t="s">
        <v>27</v>
      </c>
      <c r="G8" s="38">
        <f t="shared" si="2"/>
        <v>4</v>
      </c>
      <c r="H8" s="39">
        <f t="shared" si="0"/>
        <v>674.8272186034911</v>
      </c>
      <c r="I8" s="39">
        <f t="shared" si="1"/>
        <v>576.8451346831971</v>
      </c>
      <c r="J8" s="67">
        <f t="shared" si="3"/>
        <v>-6422.578770881468</v>
      </c>
    </row>
    <row r="9" spans="2:10" ht="14.25">
      <c r="B9" s="10" t="s">
        <v>43</v>
      </c>
      <c r="C9" s="11">
        <f>1/C8</f>
        <v>0.35555555555555557</v>
      </c>
      <c r="D9" s="13" t="s">
        <v>30</v>
      </c>
      <c r="G9" s="38">
        <f t="shared" si="2"/>
        <v>5</v>
      </c>
      <c r="H9" s="39">
        <f t="shared" si="0"/>
        <v>715.3168517197006</v>
      </c>
      <c r="I9" s="39">
        <f t="shared" si="1"/>
        <v>587.9383103501816</v>
      </c>
      <c r="J9" s="67">
        <f t="shared" si="3"/>
        <v>-5834.640460531286</v>
      </c>
    </row>
    <row r="10" spans="2:10" ht="14.25">
      <c r="B10" s="14" t="s">
        <v>28</v>
      </c>
      <c r="C10" s="11">
        <f>C8*C4</f>
        <v>225</v>
      </c>
      <c r="D10" s="12" t="s">
        <v>29</v>
      </c>
      <c r="G10" s="38">
        <f t="shared" si="2"/>
        <v>6</v>
      </c>
      <c r="H10" s="39">
        <f t="shared" si="0"/>
        <v>758.2358628228827</v>
      </c>
      <c r="I10" s="39">
        <f t="shared" si="1"/>
        <v>599.2448163184544</v>
      </c>
      <c r="J10" s="67">
        <f t="shared" si="3"/>
        <v>-5235.395644212832</v>
      </c>
    </row>
    <row r="11" spans="2:10" ht="14.25">
      <c r="B11" s="10" t="s">
        <v>47</v>
      </c>
      <c r="C11" s="11">
        <v>2074</v>
      </c>
      <c r="D11" s="13" t="s">
        <v>40</v>
      </c>
      <c r="G11" s="38">
        <f t="shared" si="2"/>
        <v>7</v>
      </c>
      <c r="H11" s="39">
        <f t="shared" si="0"/>
        <v>803.7300145922558</v>
      </c>
      <c r="I11" s="39">
        <f t="shared" si="1"/>
        <v>610.7687550938094</v>
      </c>
      <c r="J11" s="67">
        <f t="shared" si="3"/>
        <v>-4624.626889119023</v>
      </c>
    </row>
    <row r="12" spans="2:10" ht="14.25">
      <c r="B12" s="10" t="s">
        <v>76</v>
      </c>
      <c r="C12" s="11">
        <v>0.8</v>
      </c>
      <c r="D12" s="13"/>
      <c r="G12" s="38">
        <f t="shared" si="2"/>
        <v>8</v>
      </c>
      <c r="H12" s="39">
        <f t="shared" si="0"/>
        <v>851.9538154677912</v>
      </c>
      <c r="I12" s="39">
        <f t="shared" si="1"/>
        <v>622.5143080763826</v>
      </c>
      <c r="J12" s="67">
        <f t="shared" si="3"/>
        <v>-4002.11258104264</v>
      </c>
    </row>
    <row r="13" spans="2:10" ht="14.25">
      <c r="B13" s="10" t="s">
        <v>48</v>
      </c>
      <c r="C13" s="11">
        <f>C11*C12</f>
        <v>1659.2</v>
      </c>
      <c r="D13" s="13" t="s">
        <v>40</v>
      </c>
      <c r="G13" s="38">
        <f t="shared" si="2"/>
        <v>9</v>
      </c>
      <c r="H13" s="39">
        <f t="shared" si="0"/>
        <v>903.0710443958587</v>
      </c>
      <c r="I13" s="39">
        <f t="shared" si="1"/>
        <v>634.4857370778515</v>
      </c>
      <c r="J13" s="67">
        <f t="shared" si="3"/>
        <v>-3367.626843964789</v>
      </c>
    </row>
    <row r="14" spans="2:10" ht="14.25">
      <c r="B14" s="10" t="s">
        <v>52</v>
      </c>
      <c r="C14" s="11">
        <f>C10*C13</f>
        <v>373320</v>
      </c>
      <c r="D14" s="13" t="s">
        <v>54</v>
      </c>
      <c r="G14" s="38">
        <f t="shared" si="2"/>
        <v>10</v>
      </c>
      <c r="H14" s="39">
        <f t="shared" si="0"/>
        <v>957.2553070596103</v>
      </c>
      <c r="I14" s="39">
        <f t="shared" si="1"/>
        <v>646.6873858678102</v>
      </c>
      <c r="J14" s="67">
        <f t="shared" si="3"/>
        <v>-2720.9394580969783</v>
      </c>
    </row>
    <row r="15" spans="2:10" ht="14.25">
      <c r="B15" s="10"/>
      <c r="C15" s="11">
        <f>C14*24/1000</f>
        <v>8959.68</v>
      </c>
      <c r="D15" s="13" t="s">
        <v>53</v>
      </c>
      <c r="G15" s="38">
        <f t="shared" si="2"/>
        <v>11</v>
      </c>
      <c r="H15" s="39">
        <f t="shared" si="0"/>
        <v>1014.690625483187</v>
      </c>
      <c r="I15" s="39">
        <f t="shared" si="1"/>
        <v>659.1236817498835</v>
      </c>
      <c r="J15" s="67">
        <f t="shared" si="3"/>
        <v>-2061.815776347095</v>
      </c>
    </row>
    <row r="16" spans="2:10" ht="14.25">
      <c r="B16" s="14"/>
      <c r="C16" s="11">
        <f>C15/C4</f>
        <v>111.99600000000001</v>
      </c>
      <c r="D16" s="13" t="s">
        <v>55</v>
      </c>
      <c r="G16" s="38">
        <f t="shared" si="2"/>
        <v>12</v>
      </c>
      <c r="H16" s="39">
        <f t="shared" si="0"/>
        <v>1075.5720630121782</v>
      </c>
      <c r="I16" s="39">
        <f t="shared" si="1"/>
        <v>671.7991371681504</v>
      </c>
      <c r="J16" s="67">
        <f t="shared" si="3"/>
        <v>-1390.0166391789444</v>
      </c>
    </row>
    <row r="17" spans="2:10" ht="14.25">
      <c r="B17" s="15" t="s">
        <v>41</v>
      </c>
      <c r="C17" s="11"/>
      <c r="D17" s="12"/>
      <c r="G17" s="38">
        <f t="shared" si="2"/>
        <v>13</v>
      </c>
      <c r="H17" s="39">
        <f t="shared" si="0"/>
        <v>1140.106386792909</v>
      </c>
      <c r="I17" s="39">
        <f t="shared" si="1"/>
        <v>684.7183513444611</v>
      </c>
      <c r="J17" s="67">
        <f t="shared" si="3"/>
        <v>-705.2982878344833</v>
      </c>
    </row>
    <row r="18" spans="2:10" ht="14.25">
      <c r="B18" s="10" t="s">
        <v>62</v>
      </c>
      <c r="C18" s="11">
        <v>0.08</v>
      </c>
      <c r="D18" s="12" t="s">
        <v>25</v>
      </c>
      <c r="G18" s="38">
        <f t="shared" si="2"/>
        <v>14</v>
      </c>
      <c r="H18" s="39">
        <f t="shared" si="0"/>
        <v>1208.5127700004837</v>
      </c>
      <c r="I18" s="39">
        <f t="shared" si="1"/>
        <v>697.8860119472392</v>
      </c>
      <c r="J18" s="67">
        <f t="shared" si="3"/>
        <v>-7.41227588724405</v>
      </c>
    </row>
    <row r="19" spans="2:10" ht="14.25">
      <c r="B19" s="10" t="s">
        <v>63</v>
      </c>
      <c r="C19" s="11">
        <v>0.039</v>
      </c>
      <c r="D19" s="12" t="s">
        <v>24</v>
      </c>
      <c r="G19" s="38">
        <f t="shared" si="2"/>
        <v>15</v>
      </c>
      <c r="H19" s="39">
        <f t="shared" si="0"/>
        <v>1281.0235362005128</v>
      </c>
      <c r="I19" s="39">
        <f t="shared" si="1"/>
        <v>711.3068967923786</v>
      </c>
      <c r="J19" s="67">
        <f t="shared" si="3"/>
        <v>703.8946209051345</v>
      </c>
    </row>
    <row r="20" spans="2:10" ht="14.25">
      <c r="B20" s="10" t="s">
        <v>42</v>
      </c>
      <c r="C20" s="11">
        <f>C18/C19</f>
        <v>2.0512820512820515</v>
      </c>
      <c r="D20" s="12" t="s">
        <v>30</v>
      </c>
      <c r="G20" s="38">
        <f t="shared" si="2"/>
        <v>16</v>
      </c>
      <c r="H20" s="39">
        <f t="shared" si="0"/>
        <v>1357.8849483725437</v>
      </c>
      <c r="I20" s="39">
        <f t="shared" si="1"/>
        <v>724.9858755768473</v>
      </c>
      <c r="J20" s="67">
        <f t="shared" si="3"/>
        <v>1428.880496481982</v>
      </c>
    </row>
    <row r="21" spans="2:10" ht="14.25">
      <c r="B21" s="10" t="s">
        <v>49</v>
      </c>
      <c r="C21" s="11">
        <f>1/C8</f>
        <v>0.35555555555555557</v>
      </c>
      <c r="D21" s="12" t="s">
        <v>30</v>
      </c>
      <c r="G21" s="38">
        <f t="shared" si="2"/>
        <v>17</v>
      </c>
      <c r="H21" s="39">
        <f t="shared" si="0"/>
        <v>1439.3580452748963</v>
      </c>
      <c r="I21" s="39">
        <f t="shared" si="1"/>
        <v>738.9279116456328</v>
      </c>
      <c r="J21" s="67">
        <f t="shared" si="3"/>
        <v>2167.8084081276147</v>
      </c>
    </row>
    <row r="22" spans="2:10" ht="14.25">
      <c r="B22" s="10" t="s">
        <v>50</v>
      </c>
      <c r="C22" s="11">
        <f>C20+C21</f>
        <v>2.406837606837607</v>
      </c>
      <c r="D22" s="12" t="s">
        <v>30</v>
      </c>
      <c r="G22" s="38">
        <f t="shared" si="2"/>
        <v>18</v>
      </c>
      <c r="H22" s="39">
        <f t="shared" si="0"/>
        <v>1525.7195279913901</v>
      </c>
      <c r="I22" s="39">
        <f t="shared" si="1"/>
        <v>753.1380637926641</v>
      </c>
      <c r="J22" s="67">
        <f t="shared" si="3"/>
        <v>2920.946471920279</v>
      </c>
    </row>
    <row r="23" spans="2:10" ht="14.25">
      <c r="B23" s="10" t="s">
        <v>51</v>
      </c>
      <c r="C23" s="11">
        <f>1/C22</f>
        <v>0.4154829545454545</v>
      </c>
      <c r="D23" s="12" t="s">
        <v>27</v>
      </c>
      <c r="G23" s="38">
        <f t="shared" si="2"/>
        <v>19</v>
      </c>
      <c r="H23" s="39">
        <f t="shared" si="0"/>
        <v>1617.2626996708736</v>
      </c>
      <c r="I23" s="39">
        <f t="shared" si="1"/>
        <v>767.6214880963693</v>
      </c>
      <c r="J23" s="67">
        <f t="shared" si="3"/>
        <v>3688.567960016648</v>
      </c>
    </row>
    <row r="24" spans="2:10" ht="14.25">
      <c r="B24" s="14" t="s">
        <v>28</v>
      </c>
      <c r="C24" s="11">
        <f>C23*C4</f>
        <v>33.23863636363636</v>
      </c>
      <c r="D24" s="12" t="s">
        <v>29</v>
      </c>
      <c r="G24" s="38">
        <f t="shared" si="2"/>
        <v>20</v>
      </c>
      <c r="H24" s="39">
        <f t="shared" si="0"/>
        <v>1714.2984616511262</v>
      </c>
      <c r="I24" s="39">
        <f t="shared" si="1"/>
        <v>782.3834397905302</v>
      </c>
      <c r="J24" s="67">
        <f t="shared" si="3"/>
        <v>4470.951399807178</v>
      </c>
    </row>
    <row r="25" spans="2:10" ht="14.25">
      <c r="B25" s="10" t="s">
        <v>75</v>
      </c>
      <c r="C25" s="11">
        <f>C24*C13</f>
        <v>55149.54545454545</v>
      </c>
      <c r="D25" s="12" t="s">
        <v>31</v>
      </c>
      <c r="G25" s="38">
        <f t="shared" si="2"/>
        <v>21</v>
      </c>
      <c r="H25" s="39">
        <f t="shared" si="0"/>
        <v>1817.156369350194</v>
      </c>
      <c r="I25" s="39">
        <f t="shared" si="1"/>
        <v>797.4292751711173</v>
      </c>
      <c r="J25" s="67">
        <f t="shared" si="3"/>
        <v>5268.380674978295</v>
      </c>
    </row>
    <row r="26" spans="2:10" ht="14.25">
      <c r="B26" s="10"/>
      <c r="C26" s="11">
        <f>C25*24/1000</f>
        <v>1323.5890909090908</v>
      </c>
      <c r="D26" s="12" t="s">
        <v>5</v>
      </c>
      <c r="G26" s="38">
        <f t="shared" si="2"/>
        <v>22</v>
      </c>
      <c r="H26" s="39">
        <f t="shared" si="0"/>
        <v>1926.1857515112056</v>
      </c>
      <c r="I26" s="39">
        <f t="shared" si="1"/>
        <v>812.7644535397926</v>
      </c>
      <c r="J26" s="67">
        <f t="shared" si="3"/>
        <v>6081.145128518088</v>
      </c>
    </row>
    <row r="27" spans="2:10" ht="14.25">
      <c r="B27" s="10"/>
      <c r="C27" s="11">
        <f>C26/C4</f>
        <v>16.544863636363637</v>
      </c>
      <c r="D27" s="12" t="s">
        <v>38</v>
      </c>
      <c r="G27" s="38">
        <f t="shared" si="2"/>
        <v>23</v>
      </c>
      <c r="H27" s="39">
        <f t="shared" si="0"/>
        <v>2041.756896601878</v>
      </c>
      <c r="I27" s="39">
        <f t="shared" si="1"/>
        <v>828.3945391847888</v>
      </c>
      <c r="J27" s="67">
        <f t="shared" si="3"/>
        <v>6909.539667702877</v>
      </c>
    </row>
    <row r="28" spans="2:10" ht="14.25">
      <c r="B28" s="10" t="s">
        <v>71</v>
      </c>
      <c r="C28" s="11">
        <f>C15-C26</f>
        <v>7636.09090909091</v>
      </c>
      <c r="D28" s="13" t="s">
        <v>53</v>
      </c>
      <c r="G28" s="38">
        <f t="shared" si="2"/>
        <v>24</v>
      </c>
      <c r="H28" s="39">
        <f t="shared" si="0"/>
        <v>2164.262310397991</v>
      </c>
      <c r="I28" s="39">
        <f t="shared" si="1"/>
        <v>844.3252033998808</v>
      </c>
      <c r="J28" s="67">
        <f t="shared" si="3"/>
        <v>7753.864871102757</v>
      </c>
    </row>
    <row r="29" spans="2:10" ht="14.25">
      <c r="B29" s="10" t="s">
        <v>114</v>
      </c>
      <c r="C29" s="11">
        <f>C28*C5</f>
        <v>305443.6363636364</v>
      </c>
      <c r="D29" s="13" t="s">
        <v>5</v>
      </c>
      <c r="G29" s="38">
        <f t="shared" si="2"/>
        <v>25</v>
      </c>
      <c r="H29" s="39">
        <f t="shared" si="0"/>
        <v>2294.1180490218703</v>
      </c>
      <c r="I29" s="39">
        <f t="shared" si="1"/>
        <v>860.5622265421861</v>
      </c>
      <c r="J29" s="67">
        <f t="shared" si="3"/>
        <v>8614.427097644942</v>
      </c>
    </row>
    <row r="30" spans="2:10" ht="14.25">
      <c r="B30" s="10" t="s">
        <v>59</v>
      </c>
      <c r="C30" s="11">
        <v>251</v>
      </c>
      <c r="D30" s="13" t="s">
        <v>60</v>
      </c>
      <c r="G30" s="38">
        <f t="shared" si="2"/>
        <v>26</v>
      </c>
      <c r="H30" s="39">
        <f t="shared" si="0"/>
        <v>2431.7651319631827</v>
      </c>
      <c r="I30" s="39">
        <f t="shared" si="1"/>
        <v>877.111500129536</v>
      </c>
      <c r="J30" s="67">
        <f t="shared" si="3"/>
        <v>9491.538597774479</v>
      </c>
    </row>
    <row r="31" spans="2:10" ht="14.25">
      <c r="B31" s="10" t="s">
        <v>61</v>
      </c>
      <c r="C31" s="11">
        <v>0.9</v>
      </c>
      <c r="D31" s="13"/>
      <c r="G31" s="38">
        <f t="shared" si="2"/>
        <v>27</v>
      </c>
      <c r="H31" s="39">
        <f t="shared" si="0"/>
        <v>2577.6710398809737</v>
      </c>
      <c r="I31" s="39">
        <f t="shared" si="1"/>
        <v>893.9790289781808</v>
      </c>
      <c r="J31" s="67">
        <f t="shared" si="3"/>
        <v>10385.51762675266</v>
      </c>
    </row>
    <row r="32" spans="2:10" ht="14.25">
      <c r="B32" s="10" t="s">
        <v>56</v>
      </c>
      <c r="C32" s="11">
        <f>C30/C31</f>
        <v>278.88888888888886</v>
      </c>
      <c r="D32" s="13" t="s">
        <v>58</v>
      </c>
      <c r="G32" s="38">
        <f t="shared" si="2"/>
        <v>28</v>
      </c>
      <c r="H32" s="39">
        <f t="shared" si="0"/>
        <v>2732.331302273832</v>
      </c>
      <c r="I32" s="39">
        <f t="shared" si="1"/>
        <v>911.1709333816073</v>
      </c>
      <c r="J32" s="67">
        <f t="shared" si="3"/>
        <v>11296.688560134267</v>
      </c>
    </row>
    <row r="33" spans="2:10" ht="14.25">
      <c r="B33" s="10" t="s">
        <v>68</v>
      </c>
      <c r="C33" s="11">
        <f>C29/1000*C32/1000</f>
        <v>85.18483636363636</v>
      </c>
      <c r="D33" s="13" t="s">
        <v>69</v>
      </c>
      <c r="G33" s="38">
        <f t="shared" si="2"/>
        <v>29</v>
      </c>
      <c r="H33" s="39">
        <f t="shared" si="0"/>
        <v>2896.2711804102623</v>
      </c>
      <c r="I33" s="39">
        <f t="shared" si="1"/>
        <v>928.6934513312536</v>
      </c>
      <c r="J33" s="67">
        <f t="shared" si="3"/>
        <v>12225.382011465521</v>
      </c>
    </row>
    <row r="34" spans="2:10" ht="14.25">
      <c r="B34" s="10" t="s">
        <v>70</v>
      </c>
      <c r="C34" s="11">
        <v>0.07</v>
      </c>
      <c r="D34" s="13" t="s">
        <v>11</v>
      </c>
      <c r="G34" s="38">
        <f t="shared" si="2"/>
        <v>30</v>
      </c>
      <c r="H34" s="39">
        <f t="shared" si="0"/>
        <v>3070.0474512348783</v>
      </c>
      <c r="I34" s="39">
        <f t="shared" si="1"/>
        <v>946.5529407799318</v>
      </c>
      <c r="J34" s="67">
        <f t="shared" si="3"/>
        <v>13171.934952245452</v>
      </c>
    </row>
    <row r="35" spans="2:10" ht="14.25">
      <c r="B35" s="10" t="s">
        <v>64</v>
      </c>
      <c r="C35" s="11">
        <v>140</v>
      </c>
      <c r="D35" s="13" t="s">
        <v>34</v>
      </c>
      <c r="G35" s="38">
        <f t="shared" si="2"/>
        <v>31</v>
      </c>
      <c r="H35" s="39">
        <f t="shared" si="0"/>
        <v>3254.250298308971</v>
      </c>
      <c r="I35" s="39">
        <f t="shared" si="1"/>
        <v>964.7558819487766</v>
      </c>
      <c r="J35" s="67">
        <f t="shared" si="3"/>
        <v>14136.690834194229</v>
      </c>
    </row>
    <row r="36" spans="2:10" ht="14.25">
      <c r="B36" s="10" t="s">
        <v>65</v>
      </c>
      <c r="C36" s="11">
        <f>C35*C4</f>
        <v>11200</v>
      </c>
      <c r="D36" s="13" t="s">
        <v>11</v>
      </c>
      <c r="G36" s="38">
        <f t="shared" si="2"/>
        <v>32</v>
      </c>
      <c r="H36" s="39">
        <f t="shared" si="0"/>
        <v>3449.5053162075096</v>
      </c>
      <c r="I36" s="39">
        <f t="shared" si="1"/>
        <v>983.3088796785607</v>
      </c>
      <c r="J36" s="67">
        <f t="shared" si="3"/>
        <v>15119.99971387279</v>
      </c>
    </row>
    <row r="37" spans="2:10" ht="14.25">
      <c r="B37" s="10" t="s">
        <v>66</v>
      </c>
      <c r="C37" s="11">
        <v>25</v>
      </c>
      <c r="D37" s="13" t="s">
        <v>34</v>
      </c>
      <c r="G37" s="38">
        <f t="shared" si="2"/>
        <v>33</v>
      </c>
      <c r="H37" s="39">
        <f t="shared" si="0"/>
        <v>3656.4756351799606</v>
      </c>
      <c r="I37" s="39">
        <f t="shared" si="1"/>
        <v>1002.2186658262254</v>
      </c>
      <c r="J37" s="67">
        <f t="shared" si="3"/>
        <v>16122.218379699016</v>
      </c>
    </row>
    <row r="38" spans="2:10" ht="14.25">
      <c r="B38" s="10" t="s">
        <v>67</v>
      </c>
      <c r="C38" s="11">
        <v>0</v>
      </c>
      <c r="D38" s="13" t="s">
        <v>11</v>
      </c>
      <c r="G38" s="38">
        <f t="shared" si="2"/>
        <v>34</v>
      </c>
      <c r="H38" s="39">
        <f t="shared" si="0"/>
        <v>3875.8641732907586</v>
      </c>
      <c r="I38" s="39">
        <f t="shared" si="1"/>
        <v>1021.492101707499</v>
      </c>
      <c r="J38" s="67">
        <f t="shared" si="3"/>
        <v>17143.710481406513</v>
      </c>
    </row>
    <row r="39" spans="2:10" ht="14.25">
      <c r="B39" s="10" t="s">
        <v>73</v>
      </c>
      <c r="C39" s="11">
        <f>C37*C4</f>
        <v>2000</v>
      </c>
      <c r="D39" s="13" t="s">
        <v>11</v>
      </c>
      <c r="G39" s="38">
        <f>G38+1</f>
        <v>35</v>
      </c>
      <c r="H39" s="39">
        <f t="shared" si="0"/>
        <v>4108.416023688204</v>
      </c>
      <c r="I39" s="39">
        <f t="shared" si="1"/>
        <v>1041.1361805864894</v>
      </c>
      <c r="J39" s="67">
        <f t="shared" si="3"/>
        <v>18184.846661993004</v>
      </c>
    </row>
    <row r="40" spans="2:10" ht="14.25">
      <c r="B40" s="10"/>
      <c r="C40" s="11">
        <f>C39/C33</f>
        <v>23.47835701018918</v>
      </c>
      <c r="D40" s="13" t="s">
        <v>10</v>
      </c>
      <c r="G40" s="38">
        <f t="shared" si="2"/>
        <v>36</v>
      </c>
      <c r="H40" s="39">
        <f t="shared" si="0"/>
        <v>4354.9209851094965</v>
      </c>
      <c r="I40" s="39">
        <f t="shared" si="1"/>
        <v>1061.1580302131526</v>
      </c>
      <c r="J40" s="67">
        <f t="shared" si="3"/>
        <v>19246.004692206156</v>
      </c>
    </row>
    <row r="41" spans="2:10" ht="14.25">
      <c r="B41" s="10"/>
      <c r="C41" s="11">
        <f>C39/C29*1000</f>
        <v>6.547852899508315</v>
      </c>
      <c r="D41" s="13" t="s">
        <v>113</v>
      </c>
      <c r="G41" s="38">
        <f>G40+1</f>
        <v>37</v>
      </c>
      <c r="H41" s="39">
        <f t="shared" si="0"/>
        <v>4616.216244216066</v>
      </c>
      <c r="I41" s="39">
        <f t="shared" si="1"/>
        <v>1081.5649154095593</v>
      </c>
      <c r="J41" s="67">
        <f>J40+I41</f>
        <v>20327.569607615715</v>
      </c>
    </row>
    <row r="42" spans="2:10" ht="14.25">
      <c r="B42" s="10" t="s">
        <v>92</v>
      </c>
      <c r="C42" s="11">
        <f>C36-C39</f>
        <v>9200</v>
      </c>
      <c r="D42" s="13" t="s">
        <v>11</v>
      </c>
      <c r="G42" s="38">
        <f t="shared" si="2"/>
        <v>38</v>
      </c>
      <c r="H42" s="39">
        <f t="shared" si="0"/>
        <v>4893.18921886903</v>
      </c>
      <c r="I42" s="39">
        <f t="shared" si="1"/>
        <v>1102.364240705897</v>
      </c>
      <c r="J42" s="67">
        <f t="shared" si="3"/>
        <v>21429.933848321612</v>
      </c>
    </row>
    <row r="43" spans="2:10" ht="14.25">
      <c r="B43" s="10" t="s">
        <v>93</v>
      </c>
      <c r="C43" s="11">
        <f>C36/C33</f>
        <v>131.47879925705942</v>
      </c>
      <c r="D43" s="13" t="s">
        <v>10</v>
      </c>
      <c r="G43" s="38">
        <f>G42+1</f>
        <v>39</v>
      </c>
      <c r="H43" s="39">
        <f t="shared" si="0"/>
        <v>5186.780572001172</v>
      </c>
      <c r="I43" s="39">
        <f t="shared" si="1"/>
        <v>1123.5635530271643</v>
      </c>
      <c r="J43" s="67">
        <f t="shared" si="3"/>
        <v>22553.497401348777</v>
      </c>
    </row>
    <row r="44" spans="2:10" ht="14.25">
      <c r="B44" s="10" t="s">
        <v>74</v>
      </c>
      <c r="C44" s="11">
        <f>C28*C34</f>
        <v>534.5263636363637</v>
      </c>
      <c r="D44" s="13" t="s">
        <v>11</v>
      </c>
      <c r="G44" s="38">
        <f t="shared" si="2"/>
        <v>40</v>
      </c>
      <c r="H44" s="39">
        <f t="shared" si="0"/>
        <v>5497.987406321243</v>
      </c>
      <c r="I44" s="39">
        <f t="shared" si="1"/>
        <v>1145.1705444315326</v>
      </c>
      <c r="J44" s="67">
        <f t="shared" si="3"/>
        <v>23698.66794578031</v>
      </c>
    </row>
    <row r="45" spans="2:10" ht="14.25">
      <c r="B45" s="10" t="s">
        <v>77</v>
      </c>
      <c r="C45" s="21">
        <v>0.04</v>
      </c>
      <c r="D45" s="13"/>
      <c r="G45" s="35"/>
      <c r="H45" s="37"/>
      <c r="I45" s="37"/>
      <c r="J45" s="28"/>
    </row>
    <row r="46" spans="2:10" ht="15" thickBot="1">
      <c r="B46" s="17" t="s">
        <v>78</v>
      </c>
      <c r="C46" s="20">
        <v>0.06</v>
      </c>
      <c r="D46" s="18"/>
      <c r="G46" s="40"/>
      <c r="H46" s="30"/>
      <c r="I46" s="30"/>
      <c r="J46" s="31"/>
    </row>
    <row r="47" spans="2:4" ht="14.25">
      <c r="B47" s="5"/>
      <c r="C47" s="6"/>
      <c r="D47" s="5"/>
    </row>
    <row r="48" spans="2:4" ht="15" thickBot="1">
      <c r="B48" s="4"/>
      <c r="C48" s="6"/>
      <c r="D48" s="4"/>
    </row>
    <row r="49" spans="2:10" ht="15">
      <c r="B49" s="75" t="s">
        <v>82</v>
      </c>
      <c r="C49" s="76"/>
      <c r="D49" s="77"/>
      <c r="G49" s="32" t="s">
        <v>79</v>
      </c>
      <c r="H49" s="33" t="s">
        <v>80</v>
      </c>
      <c r="I49" s="33" t="s">
        <v>98</v>
      </c>
      <c r="J49" s="34" t="s">
        <v>21</v>
      </c>
    </row>
    <row r="50" spans="2:10" ht="14.25">
      <c r="B50" s="22" t="s">
        <v>83</v>
      </c>
      <c r="C50" s="11">
        <v>4</v>
      </c>
      <c r="D50" s="23" t="s">
        <v>23</v>
      </c>
      <c r="G50" s="35">
        <v>0</v>
      </c>
      <c r="H50" s="36">
        <f>C70</f>
        <v>98.00000000000001</v>
      </c>
      <c r="I50" s="37">
        <f>H50/(1+$C$71)^G50</f>
        <v>98.00000000000001</v>
      </c>
      <c r="J50" s="68">
        <f>I50-C68</f>
        <v>-1002</v>
      </c>
    </row>
    <row r="51" spans="2:10" ht="14.25">
      <c r="B51" s="22" t="s">
        <v>88</v>
      </c>
      <c r="C51" s="11">
        <v>20</v>
      </c>
      <c r="D51" s="24" t="s">
        <v>22</v>
      </c>
      <c r="G51" s="35">
        <f>G50+1</f>
        <v>1</v>
      </c>
      <c r="H51" s="37">
        <f>H50*(1+$C$72)</f>
        <v>103.88000000000002</v>
      </c>
      <c r="I51" s="37">
        <f aca="true" t="shared" si="4" ref="I51:I70">H51/(1+$C$71)^G51</f>
        <v>99.8846153846154</v>
      </c>
      <c r="J51" s="28">
        <f>J50+I51</f>
        <v>-902.1153846153846</v>
      </c>
    </row>
    <row r="52" spans="2:10" ht="14.25">
      <c r="B52" s="22" t="s">
        <v>84</v>
      </c>
      <c r="C52" s="11">
        <v>6000</v>
      </c>
      <c r="D52" s="23" t="s">
        <v>11</v>
      </c>
      <c r="G52" s="35">
        <f aca="true" t="shared" si="5" ref="G52:G70">G51+1</f>
        <v>2</v>
      </c>
      <c r="H52" s="37">
        <f aca="true" t="shared" si="6" ref="H52:H70">H51*(1+$C$72)</f>
        <v>110.11280000000004</v>
      </c>
      <c r="I52" s="37">
        <f t="shared" si="4"/>
        <v>101.80547337278108</v>
      </c>
      <c r="J52" s="28">
        <f aca="true" t="shared" si="7" ref="J52:J70">J51+I52</f>
        <v>-800.3099112426036</v>
      </c>
    </row>
    <row r="53" spans="2:10" ht="14.25">
      <c r="B53" s="22" t="s">
        <v>87</v>
      </c>
      <c r="C53" s="11">
        <v>350</v>
      </c>
      <c r="D53" s="24" t="s">
        <v>85</v>
      </c>
      <c r="G53" s="35">
        <f t="shared" si="5"/>
        <v>3</v>
      </c>
      <c r="H53" s="37">
        <f t="shared" si="6"/>
        <v>116.71956800000004</v>
      </c>
      <c r="I53" s="37">
        <f t="shared" si="4"/>
        <v>103.76327093764226</v>
      </c>
      <c r="J53" s="28">
        <f t="shared" si="7"/>
        <v>-696.5466403049613</v>
      </c>
    </row>
    <row r="54" spans="2:10" ht="14.25">
      <c r="B54" s="22" t="s">
        <v>86</v>
      </c>
      <c r="C54" s="11">
        <f>C53*C50</f>
        <v>1400</v>
      </c>
      <c r="D54" s="23" t="s">
        <v>36</v>
      </c>
      <c r="G54" s="35">
        <f t="shared" si="5"/>
        <v>4</v>
      </c>
      <c r="H54" s="37">
        <f t="shared" si="6"/>
        <v>123.72274208000005</v>
      </c>
      <c r="I54" s="37">
        <f t="shared" si="4"/>
        <v>105.75871845567384</v>
      </c>
      <c r="J54" s="28">
        <f t="shared" si="7"/>
        <v>-590.7879218492875</v>
      </c>
    </row>
    <row r="55" spans="2:10" ht="14.25">
      <c r="B55" s="10" t="s">
        <v>59</v>
      </c>
      <c r="C55" s="11">
        <v>251</v>
      </c>
      <c r="D55" s="13" t="s">
        <v>60</v>
      </c>
      <c r="G55" s="35">
        <f t="shared" si="5"/>
        <v>5</v>
      </c>
      <c r="H55" s="37">
        <f t="shared" si="6"/>
        <v>131.14610660480005</v>
      </c>
      <c r="I55" s="37">
        <f t="shared" si="4"/>
        <v>107.7925399644368</v>
      </c>
      <c r="J55" s="28">
        <f t="shared" si="7"/>
        <v>-482.9953818848507</v>
      </c>
    </row>
    <row r="56" spans="2:10" ht="14.25">
      <c r="B56" s="10" t="s">
        <v>61</v>
      </c>
      <c r="C56" s="21">
        <v>0.9</v>
      </c>
      <c r="D56" s="13"/>
      <c r="G56" s="35">
        <f t="shared" si="5"/>
        <v>6</v>
      </c>
      <c r="H56" s="37">
        <f t="shared" si="6"/>
        <v>139.01487300108806</v>
      </c>
      <c r="I56" s="37">
        <f t="shared" si="4"/>
        <v>109.86547342529136</v>
      </c>
      <c r="J56" s="28">
        <f t="shared" si="7"/>
        <v>-373.1299084595594</v>
      </c>
    </row>
    <row r="57" spans="2:10" ht="14.25">
      <c r="B57" s="10" t="s">
        <v>56</v>
      </c>
      <c r="C57" s="11">
        <f>C55/C56</f>
        <v>278.88888888888886</v>
      </c>
      <c r="D57" s="13" t="s">
        <v>58</v>
      </c>
      <c r="G57" s="35">
        <f t="shared" si="5"/>
        <v>7</v>
      </c>
      <c r="H57" s="37">
        <f t="shared" si="6"/>
        <v>147.35576538115336</v>
      </c>
      <c r="I57" s="37">
        <f t="shared" si="4"/>
        <v>111.97827099116236</v>
      </c>
      <c r="J57" s="28">
        <f t="shared" si="7"/>
        <v>-261.151637468397</v>
      </c>
    </row>
    <row r="58" spans="2:10" ht="14.25">
      <c r="B58" s="10" t="s">
        <v>89</v>
      </c>
      <c r="C58" s="11">
        <f>C54/1000*C57</f>
        <v>390.4444444444444</v>
      </c>
      <c r="D58" s="13" t="s">
        <v>32</v>
      </c>
      <c r="G58" s="35">
        <f t="shared" si="5"/>
        <v>8</v>
      </c>
      <c r="H58" s="37">
        <f t="shared" si="6"/>
        <v>156.19711130402257</v>
      </c>
      <c r="I58" s="37">
        <f t="shared" si="4"/>
        <v>114.13169927945393</v>
      </c>
      <c r="J58" s="28">
        <f t="shared" si="7"/>
        <v>-147.01993818894306</v>
      </c>
    </row>
    <row r="59" spans="2:10" ht="14.25">
      <c r="B59" s="10" t="s">
        <v>95</v>
      </c>
      <c r="C59" s="11">
        <f>C54*C51/1000*C57/1000</f>
        <v>7.808888888888887</v>
      </c>
      <c r="D59" s="13" t="s">
        <v>69</v>
      </c>
      <c r="G59" s="35">
        <f t="shared" si="5"/>
        <v>9</v>
      </c>
      <c r="H59" s="37">
        <f t="shared" si="6"/>
        <v>165.56893798226395</v>
      </c>
      <c r="I59" s="37">
        <f t="shared" si="4"/>
        <v>116.32653965021267</v>
      </c>
      <c r="J59" s="28">
        <f t="shared" si="7"/>
        <v>-30.693398538730392</v>
      </c>
    </row>
    <row r="60" spans="2:10" ht="14.25">
      <c r="B60" s="10" t="s">
        <v>70</v>
      </c>
      <c r="C60" s="11">
        <v>0.07</v>
      </c>
      <c r="D60" s="13" t="s">
        <v>11</v>
      </c>
      <c r="G60" s="35">
        <f t="shared" si="5"/>
        <v>10</v>
      </c>
      <c r="H60" s="37">
        <f t="shared" si="6"/>
        <v>175.5030742611998</v>
      </c>
      <c r="I60" s="37">
        <f t="shared" si="4"/>
        <v>118.56358848963984</v>
      </c>
      <c r="J60" s="28">
        <f t="shared" si="7"/>
        <v>87.87018995090945</v>
      </c>
    </row>
    <row r="61" spans="2:10" ht="14.25">
      <c r="B61" s="22" t="s">
        <v>90</v>
      </c>
      <c r="C61" s="11">
        <v>1500</v>
      </c>
      <c r="D61" s="24" t="s">
        <v>11</v>
      </c>
      <c r="G61" s="35">
        <f t="shared" si="5"/>
        <v>11</v>
      </c>
      <c r="H61" s="37">
        <f t="shared" si="6"/>
        <v>186.03325871687179</v>
      </c>
      <c r="I61" s="37">
        <f t="shared" si="4"/>
        <v>120.84365749905601</v>
      </c>
      <c r="J61" s="28">
        <f t="shared" si="7"/>
        <v>208.71384744996544</v>
      </c>
    </row>
    <row r="62" spans="2:10" ht="14.25">
      <c r="B62" s="22" t="s">
        <v>94</v>
      </c>
      <c r="C62" s="11">
        <v>750</v>
      </c>
      <c r="D62" s="24" t="s">
        <v>11</v>
      </c>
      <c r="G62" s="35">
        <f t="shared" si="5"/>
        <v>12</v>
      </c>
      <c r="H62" s="37">
        <f t="shared" si="6"/>
        <v>197.1952542398841</v>
      </c>
      <c r="I62" s="37">
        <f t="shared" si="4"/>
        <v>123.16757398942244</v>
      </c>
      <c r="J62" s="28">
        <f t="shared" si="7"/>
        <v>331.88142143938785</v>
      </c>
    </row>
    <row r="63" spans="2:10" ht="14.25">
      <c r="B63" s="22" t="s">
        <v>91</v>
      </c>
      <c r="C63" s="11">
        <v>250</v>
      </c>
      <c r="D63" s="24" t="s">
        <v>11</v>
      </c>
      <c r="G63" s="35">
        <f t="shared" si="5"/>
        <v>13</v>
      </c>
      <c r="H63" s="37">
        <f t="shared" si="6"/>
        <v>209.02696949427715</v>
      </c>
      <c r="I63" s="37">
        <f t="shared" si="4"/>
        <v>125.53618118152671</v>
      </c>
      <c r="J63" s="28">
        <f t="shared" si="7"/>
        <v>457.4176026209146</v>
      </c>
    </row>
    <row r="64" spans="2:10" ht="14.25">
      <c r="B64" s="22" t="s">
        <v>67</v>
      </c>
      <c r="C64" s="11">
        <f>MIN(3380,0.4*C52)</f>
        <v>2400</v>
      </c>
      <c r="D64" s="24" t="s">
        <v>11</v>
      </c>
      <c r="G64" s="35">
        <f t="shared" si="5"/>
        <v>14</v>
      </c>
      <c r="H64" s="37">
        <f t="shared" si="6"/>
        <v>221.56858766393378</v>
      </c>
      <c r="I64" s="37">
        <f t="shared" si="4"/>
        <v>127.9503385119407</v>
      </c>
      <c r="J64" s="28">
        <f t="shared" si="7"/>
        <v>585.3679411328553</v>
      </c>
    </row>
    <row r="65" spans="2:10" ht="14.25">
      <c r="B65" s="22" t="s">
        <v>97</v>
      </c>
      <c r="C65" s="11">
        <f>SUM(C61:C64)</f>
        <v>4900</v>
      </c>
      <c r="D65" s="24" t="s">
        <v>11</v>
      </c>
      <c r="G65" s="35">
        <f t="shared" si="5"/>
        <v>15</v>
      </c>
      <c r="H65" s="37">
        <f t="shared" si="6"/>
        <v>234.86270292376983</v>
      </c>
      <c r="I65" s="37">
        <f t="shared" si="4"/>
        <v>130.41092194486265</v>
      </c>
      <c r="J65" s="28">
        <f t="shared" si="7"/>
        <v>715.7788630777179</v>
      </c>
    </row>
    <row r="66" spans="2:10" ht="14.25">
      <c r="B66" s="22"/>
      <c r="C66" s="11">
        <f>C65/C59</f>
        <v>627.4900398406376</v>
      </c>
      <c r="D66" s="13" t="s">
        <v>10</v>
      </c>
      <c r="G66" s="35">
        <f t="shared" si="5"/>
        <v>16</v>
      </c>
      <c r="H66" s="37">
        <f t="shared" si="6"/>
        <v>248.95446509919603</v>
      </c>
      <c r="I66" s="37">
        <f t="shared" si="4"/>
        <v>132.91882428995615</v>
      </c>
      <c r="J66" s="28">
        <f t="shared" si="7"/>
        <v>848.697687367674</v>
      </c>
    </row>
    <row r="67" spans="2:10" ht="14.25">
      <c r="B67" s="22"/>
      <c r="C67" s="11">
        <f>C65/(C54*C51)*1000</f>
        <v>175</v>
      </c>
      <c r="D67" s="13" t="s">
        <v>113</v>
      </c>
      <c r="G67" s="35">
        <f t="shared" si="5"/>
        <v>17</v>
      </c>
      <c r="H67" s="37">
        <f t="shared" si="6"/>
        <v>263.8917330051478</v>
      </c>
      <c r="I67" s="37">
        <f t="shared" si="4"/>
        <v>135.47495552630144</v>
      </c>
      <c r="J67" s="28">
        <f t="shared" si="7"/>
        <v>984.1726428939754</v>
      </c>
    </row>
    <row r="68" spans="2:10" ht="14.25">
      <c r="B68" s="22" t="s">
        <v>92</v>
      </c>
      <c r="C68" s="11">
        <f>C52-C65</f>
        <v>1100</v>
      </c>
      <c r="D68" s="24" t="s">
        <v>11</v>
      </c>
      <c r="G68" s="35">
        <f t="shared" si="5"/>
        <v>18</v>
      </c>
      <c r="H68" s="37">
        <f t="shared" si="6"/>
        <v>279.72523698545666</v>
      </c>
      <c r="I68" s="37">
        <f t="shared" si="4"/>
        <v>138.08024313257647</v>
      </c>
      <c r="J68" s="28">
        <f t="shared" si="7"/>
        <v>1122.252886026552</v>
      </c>
    </row>
    <row r="69" spans="2:10" ht="14.25">
      <c r="B69" s="22" t="s">
        <v>96</v>
      </c>
      <c r="C69" s="11">
        <f>C52/C59</f>
        <v>768.3551508252705</v>
      </c>
      <c r="D69" s="13" t="s">
        <v>10</v>
      </c>
      <c r="G69" s="35">
        <f t="shared" si="5"/>
        <v>19</v>
      </c>
      <c r="H69" s="37">
        <f t="shared" si="6"/>
        <v>296.5087512045841</v>
      </c>
      <c r="I69" s="37">
        <f t="shared" si="4"/>
        <v>140.73563242358756</v>
      </c>
      <c r="J69" s="28">
        <f t="shared" si="7"/>
        <v>1262.9885184501395</v>
      </c>
    </row>
    <row r="70" spans="2:10" ht="14.25">
      <c r="B70" s="10" t="s">
        <v>74</v>
      </c>
      <c r="C70" s="11">
        <f>C54*C60</f>
        <v>98.00000000000001</v>
      </c>
      <c r="D70" s="13" t="s">
        <v>11</v>
      </c>
      <c r="G70" s="35">
        <f t="shared" si="5"/>
        <v>20</v>
      </c>
      <c r="H70" s="37">
        <f t="shared" si="6"/>
        <v>314.29927627685913</v>
      </c>
      <c r="I70" s="37">
        <f t="shared" si="4"/>
        <v>143.44208689327195</v>
      </c>
      <c r="J70" s="28">
        <f t="shared" si="7"/>
        <v>1406.4306053434116</v>
      </c>
    </row>
    <row r="71" spans="2:10" ht="15" thickBot="1">
      <c r="B71" s="10" t="s">
        <v>77</v>
      </c>
      <c r="C71" s="21">
        <v>0.04</v>
      </c>
      <c r="D71" s="13"/>
      <c r="G71" s="40"/>
      <c r="H71" s="30"/>
      <c r="I71" s="30"/>
      <c r="J71" s="31"/>
    </row>
    <row r="72" spans="2:10" ht="17.25" customHeight="1" thickBot="1">
      <c r="B72" s="17" t="s">
        <v>78</v>
      </c>
      <c r="C72" s="20">
        <v>0.06</v>
      </c>
      <c r="D72" s="18"/>
      <c r="G72" s="37"/>
      <c r="H72" s="37"/>
      <c r="I72" s="37"/>
      <c r="J72" s="37"/>
    </row>
    <row r="73" spans="2:4" ht="14.25">
      <c r="B73" s="19"/>
      <c r="C73" s="11"/>
      <c r="D73" s="16"/>
    </row>
    <row r="74" spans="2:4" ht="15" thickBot="1">
      <c r="B74" s="2"/>
      <c r="C74" s="11"/>
      <c r="D74" s="16"/>
    </row>
    <row r="75" spans="2:19" ht="15">
      <c r="B75" s="78" t="s">
        <v>112</v>
      </c>
      <c r="C75" s="76"/>
      <c r="D75" s="77"/>
      <c r="G75" s="32" t="s">
        <v>79</v>
      </c>
      <c r="H75" s="33" t="s">
        <v>106</v>
      </c>
      <c r="I75" s="33" t="s">
        <v>107</v>
      </c>
      <c r="J75" s="33" t="s">
        <v>108</v>
      </c>
      <c r="K75" s="69" t="s">
        <v>124</v>
      </c>
      <c r="L75" s="69" t="s">
        <v>125</v>
      </c>
      <c r="M75" s="69" t="s">
        <v>126</v>
      </c>
      <c r="N75" s="69" t="s">
        <v>127</v>
      </c>
      <c r="O75" s="42" t="s">
        <v>128</v>
      </c>
      <c r="P75" s="71" t="s">
        <v>129</v>
      </c>
      <c r="S75" s="3"/>
    </row>
    <row r="76" spans="2:19" ht="14.25">
      <c r="B76" s="10" t="s">
        <v>2</v>
      </c>
      <c r="C76" s="45">
        <v>1200</v>
      </c>
      <c r="D76" s="46" t="s">
        <v>6</v>
      </c>
      <c r="G76" s="35">
        <v>0</v>
      </c>
      <c r="H76" s="37">
        <f>$C$90</f>
        <v>692.944</v>
      </c>
      <c r="I76" s="37">
        <f>C91</f>
        <v>139.88</v>
      </c>
      <c r="J76" s="37">
        <f>C92</f>
        <v>53.8</v>
      </c>
      <c r="K76" s="37">
        <f>SUM(H76:I76)</f>
        <v>832.824</v>
      </c>
      <c r="L76" s="37">
        <f>K76+J76</f>
        <v>886.6239999999999</v>
      </c>
      <c r="M76" s="37">
        <f aca="true" t="shared" si="8" ref="M76:M96">K76/(1+$C$101)^G76</f>
        <v>832.824</v>
      </c>
      <c r="N76" s="37">
        <f>L76/(1+$C$101)^G76</f>
        <v>886.6239999999999</v>
      </c>
      <c r="O76" s="36">
        <f>M76-C98</f>
        <v>-2527.176</v>
      </c>
      <c r="P76" s="68">
        <f>N76-C98</f>
        <v>-2473.376</v>
      </c>
      <c r="S76" s="3"/>
    </row>
    <row r="77" spans="2:19" ht="14.25">
      <c r="B77" s="10" t="s">
        <v>4</v>
      </c>
      <c r="C77" s="45">
        <v>1076</v>
      </c>
      <c r="D77" s="46" t="s">
        <v>5</v>
      </c>
      <c r="G77" s="35">
        <f>G76+1</f>
        <v>1</v>
      </c>
      <c r="H77" s="37">
        <f aca="true" t="shared" si="9" ref="H77:H96">$C$90</f>
        <v>692.944</v>
      </c>
      <c r="I77" s="37">
        <f>I76*(1+$C$103)</f>
        <v>145.4752</v>
      </c>
      <c r="J77" s="37">
        <f>J76*(1+$C$102)</f>
        <v>55.952</v>
      </c>
      <c r="K77" s="37">
        <f aca="true" t="shared" si="10" ref="K77:K96">SUM(H77:I77)</f>
        <v>838.4191999999999</v>
      </c>
      <c r="L77" s="37">
        <f aca="true" t="shared" si="11" ref="L77:L96">K77+J77</f>
        <v>894.3711999999999</v>
      </c>
      <c r="M77" s="37">
        <f t="shared" si="8"/>
        <v>806.1723076923076</v>
      </c>
      <c r="N77" s="37">
        <f aca="true" t="shared" si="12" ref="N77:N96">L77/(1+$C$101)^G77</f>
        <v>859.9723076923076</v>
      </c>
      <c r="O77" s="37">
        <f>O76+M77</f>
        <v>-1721.0036923076923</v>
      </c>
      <c r="P77" s="68">
        <f>P76+N77</f>
        <v>-1613.4036923076926</v>
      </c>
      <c r="S77" s="3"/>
    </row>
    <row r="78" spans="2:19" ht="14.25">
      <c r="B78" s="10" t="s">
        <v>19</v>
      </c>
      <c r="C78" s="45">
        <f>C79/C76</f>
        <v>7</v>
      </c>
      <c r="D78" s="46" t="s">
        <v>11</v>
      </c>
      <c r="G78" s="35">
        <f aca="true" t="shared" si="13" ref="G78:G96">G77+1</f>
        <v>2</v>
      </c>
      <c r="H78" s="37">
        <f t="shared" si="9"/>
        <v>692.944</v>
      </c>
      <c r="I78" s="37">
        <f aca="true" t="shared" si="14" ref="I78:I96">I77*(1+$C$103)</f>
        <v>151.294208</v>
      </c>
      <c r="J78" s="37">
        <f aca="true" t="shared" si="15" ref="J78:J96">J77*(1+$C$102)</f>
        <v>58.19008</v>
      </c>
      <c r="K78" s="37">
        <f t="shared" si="10"/>
        <v>844.238208</v>
      </c>
      <c r="L78" s="37">
        <f t="shared" si="11"/>
        <v>902.428288</v>
      </c>
      <c r="M78" s="37">
        <f t="shared" si="8"/>
        <v>780.5456804733727</v>
      </c>
      <c r="N78" s="37">
        <f t="shared" si="12"/>
        <v>834.3456804733727</v>
      </c>
      <c r="O78" s="37">
        <f aca="true" t="shared" si="16" ref="O78:O96">O77+M78</f>
        <v>-940.4580118343196</v>
      </c>
      <c r="P78" s="68">
        <f aca="true" t="shared" si="17" ref="P78:P96">P77+N78</f>
        <v>-779.0580118343199</v>
      </c>
      <c r="S78" s="3"/>
    </row>
    <row r="79" spans="2:19" ht="14.25">
      <c r="B79" s="10" t="s">
        <v>0</v>
      </c>
      <c r="C79" s="45">
        <v>8400</v>
      </c>
      <c r="D79" s="46" t="s">
        <v>99</v>
      </c>
      <c r="G79" s="35">
        <f t="shared" si="13"/>
        <v>3</v>
      </c>
      <c r="H79" s="37">
        <f t="shared" si="9"/>
        <v>692.944</v>
      </c>
      <c r="I79" s="37">
        <f t="shared" si="14"/>
        <v>157.34597632</v>
      </c>
      <c r="J79" s="37">
        <f t="shared" si="15"/>
        <v>60.5176832</v>
      </c>
      <c r="K79" s="37">
        <f t="shared" si="10"/>
        <v>850.2899763199999</v>
      </c>
      <c r="L79" s="37">
        <f t="shared" si="11"/>
        <v>910.8076595199999</v>
      </c>
      <c r="M79" s="37">
        <f t="shared" si="8"/>
        <v>755.9046927628583</v>
      </c>
      <c r="N79" s="37">
        <f t="shared" si="12"/>
        <v>809.7046927628583</v>
      </c>
      <c r="O79" s="37">
        <f t="shared" si="16"/>
        <v>-184.55331907146126</v>
      </c>
      <c r="P79" s="68">
        <f t="shared" si="17"/>
        <v>30.64668092853833</v>
      </c>
      <c r="S79" s="3"/>
    </row>
    <row r="80" spans="2:19" ht="14.25">
      <c r="B80" s="10" t="s">
        <v>1</v>
      </c>
      <c r="C80" s="45">
        <f>0.2*C79</f>
        <v>1680</v>
      </c>
      <c r="D80" s="46" t="s">
        <v>11</v>
      </c>
      <c r="G80" s="35">
        <f t="shared" si="13"/>
        <v>4</v>
      </c>
      <c r="H80" s="37">
        <f t="shared" si="9"/>
        <v>692.944</v>
      </c>
      <c r="I80" s="37">
        <f t="shared" si="14"/>
        <v>163.6398153728</v>
      </c>
      <c r="J80" s="37">
        <f t="shared" si="15"/>
        <v>62.938390528</v>
      </c>
      <c r="K80" s="37">
        <f t="shared" si="10"/>
        <v>856.5838153728</v>
      </c>
      <c r="L80" s="37">
        <f t="shared" si="11"/>
        <v>919.5222059008</v>
      </c>
      <c r="M80" s="37">
        <f t="shared" si="8"/>
        <v>732.2114353489022</v>
      </c>
      <c r="N80" s="37">
        <f t="shared" si="12"/>
        <v>786.0114353489022</v>
      </c>
      <c r="O80" s="37">
        <f t="shared" si="16"/>
        <v>547.658116277441</v>
      </c>
      <c r="P80" s="68">
        <f t="shared" si="17"/>
        <v>816.6581162774405</v>
      </c>
      <c r="S80" s="3"/>
    </row>
    <row r="81" spans="2:19" ht="14.25">
      <c r="B81" s="10" t="s">
        <v>3</v>
      </c>
      <c r="C81" s="45">
        <f>MIN(0.4*C79,3380)</f>
        <v>3360</v>
      </c>
      <c r="D81" s="46" t="s">
        <v>11</v>
      </c>
      <c r="G81" s="35">
        <f t="shared" si="13"/>
        <v>5</v>
      </c>
      <c r="H81" s="37">
        <f t="shared" si="9"/>
        <v>692.944</v>
      </c>
      <c r="I81" s="37">
        <f t="shared" si="14"/>
        <v>170.185407987712</v>
      </c>
      <c r="J81" s="37">
        <f t="shared" si="15"/>
        <v>65.45592614912</v>
      </c>
      <c r="K81" s="37">
        <f t="shared" si="10"/>
        <v>863.1294079877119</v>
      </c>
      <c r="L81" s="37">
        <f t="shared" si="11"/>
        <v>928.585334136832</v>
      </c>
      <c r="M81" s="37">
        <f t="shared" si="8"/>
        <v>709.429457066252</v>
      </c>
      <c r="N81" s="37">
        <f t="shared" si="12"/>
        <v>763.229457066252</v>
      </c>
      <c r="O81" s="37">
        <f t="shared" si="16"/>
        <v>1257.0875733436928</v>
      </c>
      <c r="P81" s="68">
        <f t="shared" si="17"/>
        <v>1579.8875733436926</v>
      </c>
      <c r="S81" s="3"/>
    </row>
    <row r="82" spans="2:19" ht="14.25">
      <c r="B82" s="10" t="s">
        <v>9</v>
      </c>
      <c r="C82" s="45">
        <f>C77/1000*7</f>
        <v>7.532</v>
      </c>
      <c r="D82" s="46" t="s">
        <v>12</v>
      </c>
      <c r="G82" s="35">
        <f t="shared" si="13"/>
        <v>6</v>
      </c>
      <c r="H82" s="37">
        <f t="shared" si="9"/>
        <v>692.944</v>
      </c>
      <c r="I82" s="37">
        <f t="shared" si="14"/>
        <v>176.9928243072205</v>
      </c>
      <c r="J82" s="37">
        <f t="shared" si="15"/>
        <v>68.07416319508481</v>
      </c>
      <c r="K82" s="37">
        <f t="shared" si="10"/>
        <v>869.9368243072205</v>
      </c>
      <c r="L82" s="37">
        <f t="shared" si="11"/>
        <v>938.0109875023053</v>
      </c>
      <c r="M82" s="37">
        <f t="shared" si="8"/>
        <v>687.5237087175501</v>
      </c>
      <c r="N82" s="37">
        <f t="shared" si="12"/>
        <v>741.3237087175501</v>
      </c>
      <c r="O82" s="37">
        <f t="shared" si="16"/>
        <v>1944.611282061243</v>
      </c>
      <c r="P82" s="68">
        <f t="shared" si="17"/>
        <v>2321.211282061243</v>
      </c>
      <c r="S82" s="3"/>
    </row>
    <row r="83" spans="2:19" ht="14.25">
      <c r="B83" s="10" t="s">
        <v>7</v>
      </c>
      <c r="C83" s="45">
        <v>92</v>
      </c>
      <c r="D83" s="46" t="s">
        <v>11</v>
      </c>
      <c r="G83" s="35">
        <f t="shared" si="13"/>
        <v>7</v>
      </c>
      <c r="H83" s="37">
        <f t="shared" si="9"/>
        <v>692.944</v>
      </c>
      <c r="I83" s="37">
        <f t="shared" si="14"/>
        <v>184.07253727950933</v>
      </c>
      <c r="J83" s="37">
        <f t="shared" si="15"/>
        <v>70.7971297228882</v>
      </c>
      <c r="K83" s="37">
        <f t="shared" si="10"/>
        <v>877.0165372795093</v>
      </c>
      <c r="L83" s="37">
        <f t="shared" si="11"/>
        <v>947.8136670023976</v>
      </c>
      <c r="M83" s="37">
        <f t="shared" si="8"/>
        <v>666.4604891514905</v>
      </c>
      <c r="N83" s="37">
        <f t="shared" si="12"/>
        <v>720.2604891514906</v>
      </c>
      <c r="O83" s="37">
        <f t="shared" si="16"/>
        <v>2611.0717712127334</v>
      </c>
      <c r="P83" s="68">
        <f t="shared" si="17"/>
        <v>3041.4717712127335</v>
      </c>
      <c r="S83" s="3"/>
    </row>
    <row r="84" spans="2:19" ht="14.25">
      <c r="B84" s="10" t="s">
        <v>16</v>
      </c>
      <c r="C84" s="45">
        <v>15</v>
      </c>
      <c r="D84" s="46" t="s">
        <v>13</v>
      </c>
      <c r="G84" s="35">
        <f t="shared" si="13"/>
        <v>8</v>
      </c>
      <c r="H84" s="37">
        <f t="shared" si="9"/>
        <v>692.944</v>
      </c>
      <c r="I84" s="37">
        <f t="shared" si="14"/>
        <v>191.4354387706897</v>
      </c>
      <c r="J84" s="37">
        <f t="shared" si="15"/>
        <v>73.62901491180374</v>
      </c>
      <c r="K84" s="37">
        <f t="shared" si="10"/>
        <v>884.3794387706896</v>
      </c>
      <c r="L84" s="37">
        <f t="shared" si="11"/>
        <v>958.0084536824934</v>
      </c>
      <c r="M84" s="37">
        <f t="shared" si="8"/>
        <v>646.2073934148946</v>
      </c>
      <c r="N84" s="37">
        <f t="shared" si="12"/>
        <v>700.0073934148945</v>
      </c>
      <c r="O84" s="37">
        <f t="shared" si="16"/>
        <v>3257.2791646276282</v>
      </c>
      <c r="P84" s="68">
        <f t="shared" si="17"/>
        <v>3741.479164627628</v>
      </c>
      <c r="S84" s="3"/>
    </row>
    <row r="85" spans="2:19" ht="14.25">
      <c r="B85" s="10" t="s">
        <v>17</v>
      </c>
      <c r="C85" s="45">
        <v>20</v>
      </c>
      <c r="D85" s="46" t="s">
        <v>20</v>
      </c>
      <c r="G85" s="35">
        <f t="shared" si="13"/>
        <v>9</v>
      </c>
      <c r="H85" s="37">
        <f t="shared" si="9"/>
        <v>692.944</v>
      </c>
      <c r="I85" s="37">
        <f t="shared" si="14"/>
        <v>199.0928563215173</v>
      </c>
      <c r="J85" s="37">
        <f t="shared" si="15"/>
        <v>76.57417550827589</v>
      </c>
      <c r="K85" s="37">
        <f t="shared" si="10"/>
        <v>892.0368563215172</v>
      </c>
      <c r="L85" s="37">
        <f t="shared" si="11"/>
        <v>968.6110318297931</v>
      </c>
      <c r="M85" s="37">
        <f t="shared" si="8"/>
        <v>626.733262898937</v>
      </c>
      <c r="N85" s="37">
        <f t="shared" si="12"/>
        <v>680.533262898937</v>
      </c>
      <c r="O85" s="37">
        <f t="shared" si="16"/>
        <v>3884.0124275265653</v>
      </c>
      <c r="P85" s="68">
        <f t="shared" si="17"/>
        <v>4422.012427526565</v>
      </c>
      <c r="S85" s="3"/>
    </row>
    <row r="86" spans="2:19" ht="14.25">
      <c r="B86" s="10" t="s">
        <v>100</v>
      </c>
      <c r="C86" s="45">
        <v>456</v>
      </c>
      <c r="D86" s="46" t="s">
        <v>57</v>
      </c>
      <c r="G86" s="35">
        <f t="shared" si="13"/>
        <v>10</v>
      </c>
      <c r="H86" s="37">
        <f t="shared" si="9"/>
        <v>692.944</v>
      </c>
      <c r="I86" s="37">
        <f t="shared" si="14"/>
        <v>207.05657057437801</v>
      </c>
      <c r="J86" s="37">
        <f t="shared" si="15"/>
        <v>79.63714252860693</v>
      </c>
      <c r="K86" s="37">
        <f t="shared" si="10"/>
        <v>900.000570574378</v>
      </c>
      <c r="L86" s="37">
        <f t="shared" si="11"/>
        <v>979.6377131029849</v>
      </c>
      <c r="M86" s="37">
        <f t="shared" si="8"/>
        <v>608.0081374028241</v>
      </c>
      <c r="N86" s="37">
        <f t="shared" si="12"/>
        <v>661.8081374028241</v>
      </c>
      <c r="O86" s="37">
        <f t="shared" si="16"/>
        <v>4492.020564929389</v>
      </c>
      <c r="P86" s="68">
        <f t="shared" si="17"/>
        <v>5083.82056492939</v>
      </c>
      <c r="S86" s="3"/>
    </row>
    <row r="87" spans="2:19" ht="14.25">
      <c r="B87" s="10" t="s">
        <v>18</v>
      </c>
      <c r="C87" s="45">
        <f>C85*C77/1000</f>
        <v>21.52</v>
      </c>
      <c r="D87" s="46" t="s">
        <v>8</v>
      </c>
      <c r="G87" s="35">
        <f t="shared" si="13"/>
        <v>11</v>
      </c>
      <c r="H87" s="37">
        <f t="shared" si="9"/>
        <v>692.944</v>
      </c>
      <c r="I87" s="37">
        <f t="shared" si="14"/>
        <v>215.33883339735314</v>
      </c>
      <c r="J87" s="37">
        <f t="shared" si="15"/>
        <v>82.8226282297512</v>
      </c>
      <c r="K87" s="37">
        <f t="shared" si="10"/>
        <v>908.2828333973531</v>
      </c>
      <c r="L87" s="37">
        <f t="shared" si="11"/>
        <v>991.1054616271043</v>
      </c>
      <c r="M87" s="37">
        <f t="shared" si="8"/>
        <v>590.0032090411771</v>
      </c>
      <c r="N87" s="37">
        <f t="shared" si="12"/>
        <v>643.8032090411771</v>
      </c>
      <c r="O87" s="37">
        <f t="shared" si="16"/>
        <v>5082.023773970566</v>
      </c>
      <c r="P87" s="68">
        <f t="shared" si="17"/>
        <v>5727.623773970567</v>
      </c>
      <c r="S87" s="3"/>
    </row>
    <row r="88" spans="2:19" ht="14.25">
      <c r="B88" s="10" t="s">
        <v>14</v>
      </c>
      <c r="C88" s="45">
        <f>C87*C86/1000</f>
        <v>9.81312</v>
      </c>
      <c r="D88" s="46" t="s">
        <v>35</v>
      </c>
      <c r="G88" s="35">
        <f t="shared" si="13"/>
        <v>12</v>
      </c>
      <c r="H88" s="37">
        <f t="shared" si="9"/>
        <v>692.944</v>
      </c>
      <c r="I88" s="37">
        <f t="shared" si="14"/>
        <v>223.95238673324727</v>
      </c>
      <c r="J88" s="37">
        <f t="shared" si="15"/>
        <v>86.13553335894126</v>
      </c>
      <c r="K88" s="37">
        <f t="shared" si="10"/>
        <v>916.8963867332473</v>
      </c>
      <c r="L88" s="37">
        <f t="shared" si="11"/>
        <v>1003.0319200921886</v>
      </c>
      <c r="M88" s="37">
        <f t="shared" si="8"/>
        <v>572.6907779242086</v>
      </c>
      <c r="N88" s="37">
        <f t="shared" si="12"/>
        <v>626.4907779242086</v>
      </c>
      <c r="O88" s="37">
        <f t="shared" si="16"/>
        <v>5654.714551894775</v>
      </c>
      <c r="P88" s="68">
        <f t="shared" si="17"/>
        <v>6354.114551894775</v>
      </c>
      <c r="S88" s="3"/>
    </row>
    <row r="89" spans="2:19" ht="14.25">
      <c r="B89" s="10" t="s">
        <v>15</v>
      </c>
      <c r="C89" s="45">
        <f>C87*130</f>
        <v>2797.6</v>
      </c>
      <c r="D89" s="46" t="s">
        <v>11</v>
      </c>
      <c r="G89" s="35">
        <f t="shared" si="13"/>
        <v>13</v>
      </c>
      <c r="H89" s="37">
        <f t="shared" si="9"/>
        <v>692.944</v>
      </c>
      <c r="I89" s="37">
        <f t="shared" si="14"/>
        <v>232.91048220257716</v>
      </c>
      <c r="J89" s="37">
        <f t="shared" si="15"/>
        <v>89.5809546932989</v>
      </c>
      <c r="K89" s="37">
        <f t="shared" si="10"/>
        <v>925.8544822025772</v>
      </c>
      <c r="L89" s="37">
        <f t="shared" si="11"/>
        <v>1015.4354368958761</v>
      </c>
      <c r="M89" s="37">
        <f t="shared" si="8"/>
        <v>556.0442095425083</v>
      </c>
      <c r="N89" s="37">
        <f t="shared" si="12"/>
        <v>609.8442095425083</v>
      </c>
      <c r="O89" s="37">
        <f t="shared" si="16"/>
        <v>6210.758761437282</v>
      </c>
      <c r="P89" s="68">
        <f t="shared" si="17"/>
        <v>6963.958761437283</v>
      </c>
      <c r="S89" s="3"/>
    </row>
    <row r="90" spans="2:19" ht="14.25">
      <c r="B90" s="10" t="s">
        <v>104</v>
      </c>
      <c r="C90" s="45">
        <f>C82*C83</f>
        <v>692.944</v>
      </c>
      <c r="D90" s="46" t="s">
        <v>33</v>
      </c>
      <c r="G90" s="35">
        <f t="shared" si="13"/>
        <v>14</v>
      </c>
      <c r="H90" s="37">
        <f t="shared" si="9"/>
        <v>692.944</v>
      </c>
      <c r="I90" s="37">
        <f t="shared" si="14"/>
        <v>242.22690149068026</v>
      </c>
      <c r="J90" s="37">
        <f t="shared" si="15"/>
        <v>93.16419288103087</v>
      </c>
      <c r="K90" s="37">
        <f t="shared" si="10"/>
        <v>935.1709014906802</v>
      </c>
      <c r="L90" s="37">
        <f t="shared" si="11"/>
        <v>1028.335094371711</v>
      </c>
      <c r="M90" s="37">
        <f t="shared" si="8"/>
        <v>540.0378937908733</v>
      </c>
      <c r="N90" s="37">
        <f t="shared" si="12"/>
        <v>593.8378937908733</v>
      </c>
      <c r="O90" s="37">
        <f t="shared" si="16"/>
        <v>6750.796655228156</v>
      </c>
      <c r="P90" s="68">
        <f t="shared" si="17"/>
        <v>7557.796655228156</v>
      </c>
      <c r="S90" s="3"/>
    </row>
    <row r="91" spans="2:19" ht="14.25">
      <c r="B91" s="10" t="s">
        <v>105</v>
      </c>
      <c r="C91" s="45">
        <f>130*C77/1000</f>
        <v>139.88</v>
      </c>
      <c r="D91" s="46" t="s">
        <v>33</v>
      </c>
      <c r="G91" s="35">
        <f t="shared" si="13"/>
        <v>15</v>
      </c>
      <c r="H91" s="37">
        <f t="shared" si="9"/>
        <v>692.944</v>
      </c>
      <c r="I91" s="37">
        <f t="shared" si="14"/>
        <v>251.91597755030747</v>
      </c>
      <c r="J91" s="37">
        <f t="shared" si="15"/>
        <v>96.89076059627212</v>
      </c>
      <c r="K91" s="37">
        <f t="shared" si="10"/>
        <v>944.8599775503075</v>
      </c>
      <c r="L91" s="37">
        <f t="shared" si="11"/>
        <v>1041.7507381465796</v>
      </c>
      <c r="M91" s="37">
        <f t="shared" si="8"/>
        <v>524.6472055681475</v>
      </c>
      <c r="N91" s="37">
        <f t="shared" si="12"/>
        <v>578.4472055681474</v>
      </c>
      <c r="O91" s="37">
        <f t="shared" si="16"/>
        <v>7275.443860796304</v>
      </c>
      <c r="P91" s="68">
        <f t="shared" si="17"/>
        <v>8136.243860796303</v>
      </c>
      <c r="S91" s="3"/>
    </row>
    <row r="92" spans="2:19" ht="14.25">
      <c r="B92" s="10" t="s">
        <v>110</v>
      </c>
      <c r="C92" s="45">
        <f>50*C77/1000</f>
        <v>53.8</v>
      </c>
      <c r="D92" s="46" t="s">
        <v>33</v>
      </c>
      <c r="G92" s="35">
        <f t="shared" si="13"/>
        <v>16</v>
      </c>
      <c r="H92" s="37">
        <f t="shared" si="9"/>
        <v>692.944</v>
      </c>
      <c r="I92" s="37">
        <f t="shared" si="14"/>
        <v>261.9926166523198</v>
      </c>
      <c r="J92" s="37">
        <f t="shared" si="15"/>
        <v>100.76639102012301</v>
      </c>
      <c r="K92" s="37">
        <f t="shared" si="10"/>
        <v>954.9366166523198</v>
      </c>
      <c r="L92" s="37">
        <f t="shared" si="11"/>
        <v>1055.7030076724427</v>
      </c>
      <c r="M92" s="37">
        <f t="shared" si="8"/>
        <v>509.84846689244944</v>
      </c>
      <c r="N92" s="37">
        <f t="shared" si="12"/>
        <v>563.6484668924494</v>
      </c>
      <c r="O92" s="37">
        <f t="shared" si="16"/>
        <v>7785.292327688753</v>
      </c>
      <c r="P92" s="68">
        <f t="shared" si="17"/>
        <v>8699.892327688753</v>
      </c>
      <c r="S92" s="3"/>
    </row>
    <row r="93" spans="2:19" ht="14.25">
      <c r="B93" s="10" t="s">
        <v>102</v>
      </c>
      <c r="C93" s="45">
        <f>C90+C91</f>
        <v>832.824</v>
      </c>
      <c r="D93" s="46" t="s">
        <v>103</v>
      </c>
      <c r="G93" s="35">
        <f t="shared" si="13"/>
        <v>17</v>
      </c>
      <c r="H93" s="37">
        <f t="shared" si="9"/>
        <v>692.944</v>
      </c>
      <c r="I93" s="37">
        <f t="shared" si="14"/>
        <v>272.4723213184126</v>
      </c>
      <c r="J93" s="37">
        <f t="shared" si="15"/>
        <v>104.79704666092793</v>
      </c>
      <c r="K93" s="37">
        <f t="shared" si="10"/>
        <v>965.4163213184125</v>
      </c>
      <c r="L93" s="37">
        <f t="shared" si="11"/>
        <v>1070.2133679793405</v>
      </c>
      <c r="M93" s="37">
        <f t="shared" si="8"/>
        <v>495.618910473509</v>
      </c>
      <c r="N93" s="37">
        <f t="shared" si="12"/>
        <v>549.4189104735091</v>
      </c>
      <c r="O93" s="37">
        <f t="shared" si="16"/>
        <v>8280.911238162262</v>
      </c>
      <c r="P93" s="68">
        <f t="shared" si="17"/>
        <v>9249.311238162261</v>
      </c>
      <c r="S93" s="3"/>
    </row>
    <row r="94" spans="2:19" ht="14.25">
      <c r="B94" s="10" t="s">
        <v>101</v>
      </c>
      <c r="C94" s="45">
        <f>MIN((C80+C81),0.75*C79)</f>
        <v>5040</v>
      </c>
      <c r="D94" s="46" t="s">
        <v>11</v>
      </c>
      <c r="G94" s="35">
        <f t="shared" si="13"/>
        <v>18</v>
      </c>
      <c r="H94" s="37">
        <f t="shared" si="9"/>
        <v>692.944</v>
      </c>
      <c r="I94" s="37">
        <f t="shared" si="14"/>
        <v>283.3712141711491</v>
      </c>
      <c r="J94" s="37">
        <f t="shared" si="15"/>
        <v>108.98892852736505</v>
      </c>
      <c r="K94" s="37">
        <f t="shared" si="10"/>
        <v>976.3152141711491</v>
      </c>
      <c r="L94" s="37">
        <f t="shared" si="11"/>
        <v>1085.3041426985142</v>
      </c>
      <c r="M94" s="37">
        <f t="shared" si="8"/>
        <v>481.93664468606636</v>
      </c>
      <c r="N94" s="37">
        <f t="shared" si="12"/>
        <v>535.7366446860664</v>
      </c>
      <c r="O94" s="37">
        <f t="shared" si="16"/>
        <v>8762.847882848328</v>
      </c>
      <c r="P94" s="68">
        <f t="shared" si="17"/>
        <v>9785.047882848328</v>
      </c>
      <c r="S94" s="3"/>
    </row>
    <row r="95" spans="2:19" ht="14.25">
      <c r="B95" s="10" t="s">
        <v>115</v>
      </c>
      <c r="C95" s="45">
        <f>C94+O96</f>
        <v>14727.759098787285</v>
      </c>
      <c r="D95" s="46" t="s">
        <v>11</v>
      </c>
      <c r="G95" s="35">
        <f t="shared" si="13"/>
        <v>19</v>
      </c>
      <c r="H95" s="37">
        <f t="shared" si="9"/>
        <v>692.944</v>
      </c>
      <c r="I95" s="37">
        <f t="shared" si="14"/>
        <v>294.70606273799507</v>
      </c>
      <c r="J95" s="37">
        <f t="shared" si="15"/>
        <v>113.34848566845966</v>
      </c>
      <c r="K95" s="37">
        <f t="shared" si="10"/>
        <v>987.6500627379951</v>
      </c>
      <c r="L95" s="37">
        <f t="shared" si="11"/>
        <v>1100.9985484064548</v>
      </c>
      <c r="M95" s="37">
        <f t="shared" si="8"/>
        <v>468.7806198904484</v>
      </c>
      <c r="N95" s="37">
        <f t="shared" si="12"/>
        <v>522.5806198904485</v>
      </c>
      <c r="O95" s="37">
        <f t="shared" si="16"/>
        <v>9231.628502738777</v>
      </c>
      <c r="P95" s="68">
        <f t="shared" si="17"/>
        <v>10307.628502738777</v>
      </c>
      <c r="S95" s="3"/>
    </row>
    <row r="96" spans="2:19" ht="14.25">
      <c r="B96" s="10"/>
      <c r="C96" s="45">
        <f>C95/C88</f>
        <v>1500.8232956274137</v>
      </c>
      <c r="D96" s="46" t="s">
        <v>10</v>
      </c>
      <c r="G96" s="35">
        <f t="shared" si="13"/>
        <v>20</v>
      </c>
      <c r="H96" s="37">
        <f t="shared" si="9"/>
        <v>692.944</v>
      </c>
      <c r="I96" s="37">
        <f t="shared" si="14"/>
        <v>306.4943052475149</v>
      </c>
      <c r="J96" s="37">
        <f t="shared" si="15"/>
        <v>117.88242509519804</v>
      </c>
      <c r="K96" s="37">
        <f t="shared" si="10"/>
        <v>999.4383052475148</v>
      </c>
      <c r="L96" s="37">
        <f t="shared" si="11"/>
        <v>1117.3207303427127</v>
      </c>
      <c r="M96" s="37">
        <f t="shared" si="8"/>
        <v>456.13059604850804</v>
      </c>
      <c r="N96" s="37">
        <f t="shared" si="12"/>
        <v>509.930596048508</v>
      </c>
      <c r="O96" s="37">
        <f t="shared" si="16"/>
        <v>9687.759098787285</v>
      </c>
      <c r="P96" s="68">
        <f t="shared" si="17"/>
        <v>10817.559098787284</v>
      </c>
      <c r="S96" s="3"/>
    </row>
    <row r="97" spans="2:19" ht="14.25">
      <c r="B97" s="10"/>
      <c r="C97" s="45">
        <f>C95/C87*0.55</f>
        <v>376.40648254335537</v>
      </c>
      <c r="D97" s="13" t="s">
        <v>113</v>
      </c>
      <c r="G97" s="35"/>
      <c r="H97" s="37"/>
      <c r="I97" s="37"/>
      <c r="J97" s="37"/>
      <c r="K97" s="37"/>
      <c r="L97" s="37"/>
      <c r="M97" s="37"/>
      <c r="N97" s="37"/>
      <c r="O97" s="37"/>
      <c r="P97" s="28"/>
      <c r="S97" s="3"/>
    </row>
    <row r="98" spans="2:19" ht="14.25">
      <c r="B98" s="10" t="s">
        <v>92</v>
      </c>
      <c r="C98" s="27">
        <f>C79-C94</f>
        <v>3360</v>
      </c>
      <c r="D98" s="24" t="s">
        <v>11</v>
      </c>
      <c r="G98" s="35"/>
      <c r="H98" s="37"/>
      <c r="I98" s="37"/>
      <c r="K98" s="37"/>
      <c r="L98" s="37"/>
      <c r="M98" s="37"/>
      <c r="N98" s="70" t="s">
        <v>130</v>
      </c>
      <c r="O98" s="37"/>
      <c r="P98" s="28"/>
      <c r="S98" s="3"/>
    </row>
    <row r="99" spans="2:19" ht="14.25">
      <c r="B99" s="10" t="s">
        <v>96</v>
      </c>
      <c r="C99" s="27">
        <f>C79/C88</f>
        <v>855.9968694971631</v>
      </c>
      <c r="D99" s="13" t="s">
        <v>10</v>
      </c>
      <c r="G99" s="35"/>
      <c r="H99" s="37"/>
      <c r="I99" s="37"/>
      <c r="K99" s="37"/>
      <c r="L99" s="37"/>
      <c r="M99" s="37"/>
      <c r="N99" s="70" t="s">
        <v>131</v>
      </c>
      <c r="O99" s="37"/>
      <c r="P99" s="28"/>
      <c r="S99" s="3"/>
    </row>
    <row r="100" spans="2:19" ht="15" thickBot="1">
      <c r="B100" s="10" t="s">
        <v>74</v>
      </c>
      <c r="C100" s="27">
        <f>C93+C92</f>
        <v>886.6239999999999</v>
      </c>
      <c r="D100" s="13" t="s">
        <v>11</v>
      </c>
      <c r="G100" s="40"/>
      <c r="H100" s="30"/>
      <c r="I100" s="30"/>
      <c r="J100" s="30"/>
      <c r="K100" s="30"/>
      <c r="L100" s="30"/>
      <c r="M100" s="30"/>
      <c r="N100" s="30"/>
      <c r="O100" s="30"/>
      <c r="P100" s="31"/>
      <c r="S100" s="3"/>
    </row>
    <row r="101" spans="2:4" ht="14.25">
      <c r="B101" s="10" t="s">
        <v>77</v>
      </c>
      <c r="C101" s="47">
        <v>0.04</v>
      </c>
      <c r="D101" s="13"/>
    </row>
    <row r="102" spans="2:4" ht="14.25">
      <c r="B102" s="10" t="s">
        <v>109</v>
      </c>
      <c r="C102" s="47">
        <v>0.04</v>
      </c>
      <c r="D102" s="13"/>
    </row>
    <row r="103" spans="2:4" ht="15" thickBot="1">
      <c r="B103" s="17" t="s">
        <v>111</v>
      </c>
      <c r="C103" s="48">
        <v>0.04</v>
      </c>
      <c r="D103" s="49"/>
    </row>
  </sheetData>
  <sheetProtection/>
  <mergeCells count="3">
    <mergeCell ref="B2:D2"/>
    <mergeCell ref="B49:D49"/>
    <mergeCell ref="B75:D75"/>
  </mergeCells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</cp:lastModifiedBy>
  <dcterms:created xsi:type="dcterms:W3CDTF">2007-11-20T10:13:01Z</dcterms:created>
  <dcterms:modified xsi:type="dcterms:W3CDTF">2008-07-03T11:29:01Z</dcterms:modified>
  <cp:category/>
  <cp:version/>
  <cp:contentType/>
  <cp:contentStatus/>
</cp:coreProperties>
</file>